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sharedStrings.xml" ContentType="application/vnd.openxmlformats-officedocument.spreadsheetml.sharedStrings+xml"/>
  <Override PartName="/xl/media/image1.wmf" ContentType="image/x-wmf"/>
  <Override PartName="/xl/media/image2.wmf" ContentType="image/x-wmf"/>
  <Override PartName="/xl/charts/chart1.xml" ContentType="application/vnd.openxmlformats-officedocument.drawingml.chart+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comments2.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FO" sheetId="1" state="visible" r:id="rId2"/>
    <sheet name="TLU-01" sheetId="2" state="visible" r:id="rId3"/>
  </sheets>
  <definedNames>
    <definedName function="false" hidden="false" localSheetId="1" name="_xlnm.Print_Area" vbProcedure="false">'TLU-01'!$A$1:$L$46,'TLU-01'!$N$1:$Y$46</definedName>
    <definedName function="false" hidden="false" name="GDData" vbProcedure="false">#REF!</definedName>
    <definedName function="false" hidden="false" localSheetId="0" name="GDData" vbProcedure="false">#REF!</definedName>
    <definedName function="false" hidden="false" localSheetId="0" name="_xlnm.Print_Area" vbProcedure="false">INFO!$A$1:$L$9,info!#ref!</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A40" authorId="0">
      <text>
        <r>
          <rPr>
            <sz val="10"/>
            <rFont val="Arial CE"/>
            <family val="0"/>
            <charset val="238"/>
          </rPr>
          <t xml:space="preserve">Výpočtová frekvence
</t>
        </r>
        <r>
          <rPr>
            <sz val="9"/>
            <color rgb="FF000000"/>
            <rFont val="Tahoma"/>
            <family val="2"/>
            <charset val="238"/>
          </rPr>
          <t xml:space="preserve">Standardní rozsah pro výpočty v oktávovém pásmu.</t>
        </r>
      </text>
    </comment>
    <comment ref="A41" authorId="0">
      <text>
        <r>
          <rPr>
            <sz val="10"/>
            <rFont val="Arial CE"/>
            <family val="0"/>
            <charset val="238"/>
          </rPr>
          <t xml:space="preserve">Vlastní hluk tlumiče
</t>
        </r>
        <r>
          <rPr>
            <sz val="9"/>
            <color rgb="FF000000"/>
            <rFont val="Tahoma"/>
            <family val="2"/>
            <charset val="238"/>
          </rPr>
          <t xml:space="preserve">Hluk generovaný prouděním vzduchu uvnitř tlumiče, vyjádřený pomocí hladiny akustického výkonu v oktávových pásmech.</t>
        </r>
      </text>
    </comment>
    <comment ref="A44" authorId="0">
      <text>
        <r>
          <rPr>
            <sz val="10"/>
            <rFont val="Arial CE"/>
            <family val="0"/>
            <charset val="238"/>
          </rPr>
          <t xml:space="preserve">Výpočtová frekvence
</t>
        </r>
        <r>
          <rPr>
            <sz val="9"/>
            <color rgb="FF000000"/>
            <rFont val="Tahoma"/>
            <family val="2"/>
            <charset val="238"/>
          </rPr>
          <t xml:space="preserve">Standardní rozsah pro výpočty v oktávovém pásmu.</t>
        </r>
      </text>
    </comment>
    <comment ref="A45" authorId="0">
      <text>
        <r>
          <rPr>
            <sz val="10"/>
            <rFont val="Arial CE"/>
            <family val="0"/>
            <charset val="238"/>
          </rPr>
          <t xml:space="preserve">Vložný útlum hluku
</t>
        </r>
        <r>
          <rPr>
            <sz val="9"/>
            <color rgb="FF000000"/>
            <rFont val="Tahoma"/>
            <family val="2"/>
            <charset val="238"/>
          </rPr>
          <t xml:space="preserve">Rozdíl mezi hladinou akustického výkonu šířeného potrubím bez tlumiče a hladinou akustického výkonu s tlumičem hluku (měřeno ve shodném bodě). Útlumy hluku jsou stanoveny pro teplotní rozsah -20 až +50°C.
Útlumy hluku tlumičů v délce nad 2000 mm jsou dostupné na vyžádání. Kontaktujte technickou podporu na www.greif.cz.</t>
        </r>
      </text>
    </comment>
    <comment ref="A46" authorId="0">
      <text>
        <r>
          <rPr>
            <sz val="10"/>
            <rFont val="Arial CE"/>
            <family val="0"/>
            <charset val="238"/>
          </rPr>
          <t xml:space="preserve">Rozšířená směrodatná odchylka reprodukovatelnosti
</t>
        </r>
        <r>
          <rPr>
            <sz val="9"/>
            <color rgb="FF000000"/>
            <rFont val="Tahoma"/>
            <family val="2"/>
            <charset val="238"/>
          </rPr>
          <t xml:space="preserve">Nejistota měření stanovená dle ČSN EN ISO 5136 Akustika - Určování hladin akustického výkonu vyzařovaného do potrubí… Směrodatná odchylka přihlíží ke společnému působení všech příčin majících vliv na přesnost měření. Při normálním statistickém rozdělení dat leží 95 % měřených výsledků právě v rozmezí 2sigR. Je na projektantovi, jak posoudí rizikovaost instalace a jakou míru rizika do výpočtu zapracuje.</t>
        </r>
      </text>
    </comment>
    <comment ref="B12" authorId="0">
      <text>
        <r>
          <rPr>
            <sz val="10"/>
            <rFont val="Arial CE"/>
            <family val="0"/>
            <charset val="238"/>
          </rPr>
          <t xml:space="preserve">Průtok vzduchu
</t>
        </r>
        <r>
          <rPr>
            <sz val="9"/>
            <color rgb="FF000000"/>
            <rFont val="Tahoma"/>
            <family val="2"/>
            <charset val="238"/>
          </rPr>
          <t xml:space="preserve">Zadejte průtok vzduchu, který prochází celým tlumičem hluku.</t>
        </r>
      </text>
    </comment>
    <comment ref="B13" authorId="0">
      <text>
        <r>
          <rPr>
            <sz val="10"/>
            <rFont val="Arial CE"/>
            <family val="0"/>
            <charset val="238"/>
          </rPr>
          <t xml:space="preserve">Šířka potrubí
</t>
        </r>
        <r>
          <rPr>
            <sz val="9"/>
            <color rgb="FF000000"/>
            <rFont val="Tahoma"/>
            <family val="2"/>
            <charset val="238"/>
          </rPr>
          <t xml:space="preserve">Šířka potrubí je rozměr, který musí odpovídat násobkům šířky vybraného elementu. Jedná se zpravidla o vodorovný rozměr. Jednotlivé buňkové tlumiče hluku se skládají vedle sebe na sraz.
</t>
        </r>
      </text>
    </comment>
    <comment ref="B14" authorId="0">
      <text>
        <r>
          <rPr>
            <sz val="10"/>
            <rFont val="Arial CE"/>
            <family val="0"/>
            <charset val="238"/>
          </rPr>
          <t xml:space="preserve">Výška potrubí
</t>
        </r>
        <r>
          <rPr>
            <sz val="9"/>
            <color rgb="FF000000"/>
            <rFont val="Tahoma"/>
            <family val="2"/>
            <charset val="238"/>
          </rPr>
          <t xml:space="preserve">Výška potrubí je druhý rozměr potrubí (zpravidla svislý). Výšku je doporučeno je volit v násobcích 500 mm, ve kterých jsou buňkové elementy standardně vyráběny (polotovary skladem).
V případě potřeby je možné zvolit i jinou výšku potrubí. Mějte však na paměti, že doměrky buňkových tlumičů lze provádět v rozsahu výšek 250 až 499 mm.</t>
        </r>
      </text>
    </comment>
    <comment ref="B15" authorId="0">
      <text>
        <r>
          <rPr>
            <sz val="10"/>
            <rFont val="Arial CE"/>
            <family val="0"/>
            <charset val="238"/>
          </rPr>
          <t xml:space="preserve">Celková délka tlumiče
</t>
        </r>
        <r>
          <rPr>
            <sz val="9"/>
            <color rgb="FF000000"/>
            <rFont val="Tahoma"/>
            <family val="2"/>
            <charset val="238"/>
          </rPr>
          <t xml:space="preserve">Délka tlumiče, resp. délka potrubí.
Buňkové elementy se standardně vyrábějí v délkách 1000, 1500 a 2000 mm.
Elementy typu G a GH v šířkách 300, 400 a 500 mm jsou z důvodů útlumu 
hluku standardně nabízeny pouze v délkách 2000 mm.
Elementy typu GE jsou z důvodů pevnostní stability vyráběny pouze v délkách 1000 a 1500 mm.
V případě potřeby atypické délky tlumiče kontaktujte naší technickou podporu na www.greif.cz.</t>
        </r>
      </text>
    </comment>
    <comment ref="B16" authorId="0">
      <text>
        <r>
          <rPr>
            <sz val="10"/>
            <rFont val="Arial CE"/>
            <family val="0"/>
            <charset val="238"/>
          </rPr>
          <t xml:space="preserve">Typ buňkového tlumiče:
</t>
        </r>
        <r>
          <rPr>
            <sz val="9"/>
            <color rgb="FF000000"/>
            <rFont val="Tahoma"/>
            <family val="2"/>
            <charset val="238"/>
          </rPr>
          <t xml:space="preserve">Zadejte typ elementu "G", "GE", nebo "GH".
G - standardní provedení s děrovaným plechem (univerzální)
GE - kašírované provedení (omezené provedení)
GH - speciální provedení (hygienické, omyvatelné)</t>
        </r>
      </text>
    </comment>
    <comment ref="B17" authorId="0">
      <text>
        <r>
          <rPr>
            <sz val="10"/>
            <rFont val="Arial CE"/>
            <family val="0"/>
            <charset val="238"/>
          </rPr>
          <t xml:space="preserve">Šířka buňkového tlumiče
</t>
        </r>
        <r>
          <rPr>
            <sz val="9"/>
            <color rgb="FF000000"/>
            <rFont val="Tahoma"/>
            <family val="2"/>
            <charset val="238"/>
          </rPr>
          <t xml:space="preserve">Zadejte šířku elementu 200, 250, 300, 400 nebo 500 mm.
Elementy š = 200 a 250 mm
Požívají se zpravidla pro základní tlumení hluku, nebo pro dotlumení jako druhý stupeň v kombinace s elementy 400 a 500 mm.
Elementy š = 400 a 500 mm
Používají se pro tlumení nízkých kmitočtů, např. jako první stupeň tlumiče za VZT jednotkou.
Element š = 300 mm
Univerzální element pro tlumení nízkých i vysokých kmitočtů.
V případě, že potřebujete atypický rozměr, kontaktujte naší technickou podporu (www.greif.cz).</t>
        </r>
      </text>
    </comment>
    <comment ref="B18" authorId="0">
      <text>
        <r>
          <rPr>
            <sz val="10"/>
            <rFont val="Arial CE"/>
            <family val="0"/>
            <charset val="238"/>
          </rPr>
          <t xml:space="preserve">Součinitel místní tlakové ztráty
</t>
        </r>
        <r>
          <rPr>
            <sz val="9"/>
            <color rgb="FF000000"/>
            <rFont val="Tahoma"/>
            <family val="2"/>
            <charset val="238"/>
          </rPr>
          <t xml:space="preserve">Součinitel místní tlakové ztráty určuje provedení náběhu na buňkovém tlumiči.
0,1 = ostrý náběh
1,0 = tupý náběh
</t>
        </r>
      </text>
    </comment>
    <comment ref="B19" authorId="0">
      <text>
        <r>
          <rPr>
            <sz val="10"/>
            <rFont val="Arial CE"/>
            <family val="0"/>
            <charset val="238"/>
          </rPr>
          <t xml:space="preserve">Součinitel místní tlakové ztráty
</t>
        </r>
        <r>
          <rPr>
            <sz val="9"/>
            <color rgb="FF000000"/>
            <rFont val="Tahoma"/>
            <family val="2"/>
            <charset val="238"/>
          </rPr>
          <t xml:space="preserve">Součinitel místní tlakové ztráty určuje provedení výběhu na buňkovém tlumiči.
0,7 = ostrý výběh
1,0 = tupý výběh</t>
        </r>
      </text>
    </comment>
    <comment ref="B20" authorId="0">
      <text>
        <r>
          <rPr>
            <sz val="10"/>
            <rFont val="Arial CE"/>
            <family val="0"/>
            <charset val="238"/>
          </rPr>
          <t xml:space="preserve">Teplota vzduchu
</t>
        </r>
        <r>
          <rPr>
            <sz val="9"/>
            <color rgb="FF000000"/>
            <rFont val="Tahoma"/>
            <family val="2"/>
            <charset val="238"/>
          </rPr>
          <t xml:space="preserve">Teplota vzduchu na vstupu do tlumiče hluku.
</t>
        </r>
      </text>
    </comment>
    <comment ref="B21" authorId="0">
      <text>
        <r>
          <rPr>
            <sz val="10"/>
            <rFont val="Arial CE"/>
            <family val="0"/>
            <charset val="238"/>
          </rPr>
          <t xml:space="preserve">Statický tlak v potrubí
</t>
        </r>
        <r>
          <rPr>
            <sz val="9"/>
            <color rgb="FF000000"/>
            <rFont val="Tahoma"/>
            <family val="2"/>
            <charset val="238"/>
          </rPr>
          <t xml:space="preserve">Statický tlak v potrubí v místě tlumiče hluku.
</t>
        </r>
      </text>
    </comment>
    <comment ref="B22" authorId="0">
      <text>
        <r>
          <rPr>
            <sz val="10"/>
            <rFont val="Arial CE"/>
            <family val="0"/>
            <charset val="238"/>
          </rPr>
          <t xml:space="preserve">Rezerva na místní podmínky
</t>
        </r>
        <r>
          <rPr>
            <sz val="9"/>
            <color rgb="FF000000"/>
            <rFont val="Tahoma"/>
            <family val="2"/>
            <charset val="238"/>
          </rPr>
          <t xml:space="preserve">Zadejte rezervu ve výpočtu tlakové ztráty v [%].
Doporučené rezervy:
0% - ideální rovnoměrné zaplavení (téměř se nevyskytuje, např. laboratoř);
20% - standardní reserva (běžná vzduchotechnika);
40% - umístění tlumiče za kolenem (špatné zaplavení).</t>
        </r>
      </text>
    </comment>
    <comment ref="K11" authorId="0">
      <text>
        <r>
          <rPr>
            <sz val="10"/>
            <rFont val="Arial CE"/>
            <family val="0"/>
            <charset val="238"/>
          </rPr>
          <t xml:space="preserve">Tlaková ztráta tlumiče
</t>
        </r>
        <r>
          <rPr>
            <sz val="9"/>
            <color rgb="FF000000"/>
            <rFont val="Tahoma"/>
            <family val="2"/>
            <charset val="238"/>
          </rPr>
          <t xml:space="preserve">Tlaková ztráta tlumiče hluku způsobená prouděním vzduchu při daných podmínkách (průtok, tlak a teplota).</t>
        </r>
      </text>
    </comment>
    <comment ref="L40" authorId="0">
      <text>
        <r>
          <rPr>
            <sz val="10"/>
            <rFont val="Arial CE"/>
            <family val="0"/>
            <charset val="238"/>
          </rPr>
          <t xml:space="preserve">Vlastní hluk tlumiče
</t>
        </r>
        <r>
          <rPr>
            <sz val="9"/>
            <color rgb="FF000000"/>
            <rFont val="Tahoma"/>
            <family val="2"/>
            <charset val="238"/>
          </rPr>
          <t xml:space="preserve">Součtová hladina akustického výkonu vlastního hluku tlumiče korigovaná filtrem "A".</t>
        </r>
      </text>
    </comment>
    <comment ref="L44" authorId="0">
      <text>
        <r>
          <rPr>
            <sz val="10"/>
            <rFont val="Arial CE"/>
            <family val="0"/>
            <charset val="238"/>
          </rPr>
          <t xml:space="preserve">Hmotnost buňkového elementu
</t>
        </r>
        <r>
          <rPr>
            <sz val="9"/>
            <color rgb="FF000000"/>
            <rFont val="Tahoma"/>
            <family val="2"/>
            <charset val="238"/>
          </rPr>
          <t xml:space="preserve">Hmotnost jedné buňky s tolerancí 10%.</t>
        </r>
      </text>
    </comment>
    <comment ref="N11" authorId="0">
      <text>
        <r>
          <rPr>
            <sz val="10"/>
            <rFont val="Arial CE"/>
            <family val="0"/>
            <charset val="238"/>
          </rPr>
          <t xml:space="preserve">Výpočtová frekvence
</t>
        </r>
        <r>
          <rPr>
            <sz val="9"/>
            <color rgb="FF000000"/>
            <rFont val="Tahoma"/>
            <family val="2"/>
            <charset val="238"/>
          </rPr>
          <t xml:space="preserve">Standardní rozsah pro výpočty v oktávovém pásmu.</t>
        </r>
      </text>
    </comment>
    <comment ref="N12" authorId="0">
      <text>
        <r>
          <rPr>
            <sz val="9"/>
            <color rgb="FF000000"/>
            <rFont val="Tahoma"/>
            <family val="2"/>
            <charset val="238"/>
          </rPr>
          <t xml:space="preserve">Akustický výkon zdroje hluku šířený do sacího, resp. výtlačného potrubí vyjádřený ve frekvenčních pásmech f a součtovou hodnotou korigovanou filtrem A.</t>
        </r>
      </text>
    </comment>
    <comment ref="N13" authorId="0">
      <text>
        <r>
          <rPr>
            <sz val="10"/>
            <rFont val="Arial CE"/>
            <family val="0"/>
            <charset val="238"/>
          </rPr>
          <t xml:space="preserve">Vložný útlum hluku
</t>
        </r>
        <r>
          <rPr>
            <sz val="9"/>
            <color rgb="FF000000"/>
            <rFont val="Tahoma"/>
            <family val="2"/>
            <charset val="238"/>
          </rPr>
          <t xml:space="preserve">Rozdíl mezi hladinou akustického výkonu šířeného potrubím bez tlumiče a hladinou akustického výkonu s tlumičem hluku (měřeno ve shodném bodě).
Útlum hluku je zadáván jako kladná hodnota se znaménkem "+".</t>
        </r>
      </text>
    </comment>
    <comment ref="N14" authorId="0">
      <text>
        <r>
          <rPr>
            <sz val="9"/>
            <color rgb="FF000000"/>
            <rFont val="Tahoma"/>
            <family val="2"/>
            <charset val="238"/>
          </rPr>
          <t xml:space="preserve">Vlastní hluk tlumiče generovaný prouděním vzduchu uvnitř tlumiče, vyjádřený pomocí hladiny akustického výkonu v oktávových pásmech f a součtovou hladinou korigovanou filtrem A.</t>
        </r>
      </text>
    </comment>
    <comment ref="N15" authorId="0">
      <text>
        <r>
          <rPr>
            <sz val="10"/>
            <rFont val="Arial CE"/>
            <family val="0"/>
            <charset val="238"/>
          </rPr>
          <t xml:space="preserve">Útlum hluku v potrubí
</t>
        </r>
        <r>
          <rPr>
            <sz val="9"/>
            <color rgb="FF000000"/>
            <rFont val="Tahoma"/>
            <family val="2"/>
            <charset val="238"/>
          </rPr>
          <t xml:space="preserve">Uživatelsky definovaný, dodatečný útlum hluku, přičtený k útlumu tlumiče.
Lze zadat např. útlum hluku dalším tlumičem, kolenem, dlouhým potrubím apod.
Útlum hluku je zadáván jako kladná hodnota se znaménkem "+".</t>
        </r>
      </text>
    </comment>
    <comment ref="N16" authorId="0">
      <text>
        <r>
          <rPr>
            <sz val="10"/>
            <rFont val="Arial CE"/>
            <family val="0"/>
            <charset val="238"/>
          </rPr>
          <t xml:space="preserve">Akustický výkon zatlumeného zdroje
</t>
        </r>
        <r>
          <rPr>
            <sz val="9"/>
            <color rgb="FF000000"/>
            <rFont val="Tahoma"/>
            <family val="2"/>
            <charset val="238"/>
          </rPr>
          <t xml:space="preserve">Výsledný akustický výkon, zahrnující útlum hluku tlumičem DT a uživatelský útlum hluku DP, zhoršený o vlastní hluk tlumiče LWT (proudění vzduchu).
Tato hodnota je akustický výkon a nelze jí porovnávat s hygienicky přípustnými hodnotami hluku. Pro porovnání je nutné akustický výkon přepočítat na akustický tlak. Tento přepočet je závislý na místních podmínkách. Pro přepočet je možné použít výpočty na našich internetových stránkách v sekci Průvodce / Profesionál, nebo kontaktovat naší technickou podporu.
</t>
        </r>
      </text>
    </comment>
    <comment ref="N17" authorId="0">
      <text>
        <r>
          <rPr>
            <sz val="10"/>
            <rFont val="Arial CE"/>
            <family val="0"/>
            <charset val="238"/>
          </rPr>
          <t xml:space="preserve">Celkový dosažený útlum hluku
</t>
        </r>
        <r>
          <rPr>
            <sz val="9"/>
            <color rgb="FF000000"/>
            <rFont val="Tahoma"/>
            <family val="2"/>
            <charset val="238"/>
          </rPr>
          <t xml:space="preserve">Útlum hluku dosažený tlumičem DT a potrubní trasou DP, zhoršený o vlastní hluk tlumiče LWT.
</t>
        </r>
        <r>
          <rPr>
            <b val="true"/>
            <sz val="9"/>
            <color rgb="FF000000"/>
            <rFont val="Tahoma"/>
            <family val="2"/>
            <charset val="238"/>
          </rPr>
          <t xml:space="preserve">Dc = LWz - LWc
</t>
        </r>
        <r>
          <rPr>
            <sz val="9"/>
            <color rgb="FF000000"/>
            <rFont val="Tahoma"/>
            <family val="2"/>
            <charset val="238"/>
          </rPr>
          <t xml:space="preserve">
V případě, že je útlum hluku záporný "-", dochází na příslušné frekvenci k zesílení vlivem vlastního hluku tlumiče.</t>
        </r>
      </text>
    </comment>
    <comment ref="Q44" authorId="0">
      <text>
        <r>
          <rPr>
            <sz val="10"/>
            <rFont val="Arial CE"/>
            <family val="0"/>
            <charset val="238"/>
          </rPr>
          <t xml:space="preserve">Instalační rozměr potrubí
</t>
        </r>
        <r>
          <rPr>
            <sz val="9"/>
            <color rgb="FF000000"/>
            <rFont val="Tahoma"/>
            <family val="2"/>
            <charset val="238"/>
          </rPr>
          <t xml:space="preserve">Rozměr potrubí pro instalaci buňkových tlumičů hluku.
Požadavek na dodávku buněk v plášti je nutné uplatnit v objednávce.</t>
        </r>
      </text>
    </comment>
    <comment ref="Q45" authorId="0">
      <text>
        <r>
          <rPr>
            <sz val="10"/>
            <rFont val="Arial CE"/>
            <family val="0"/>
            <charset val="238"/>
          </rPr>
          <t xml:space="preserve">Objednávkový kód tlumiče
</t>
        </r>
        <r>
          <rPr>
            <sz val="9"/>
            <color rgb="FF000000"/>
            <rFont val="Tahoma"/>
            <family val="2"/>
            <charset val="238"/>
          </rPr>
          <t xml:space="preserve">Uvedeno pouze pro standardní elementy dle interních standardů ITS101-01, ITS102-01 a ITS103-01.
V případě atypické výšky je uvedeno "Atypický rozměr". V tomto případě doporučujeme kontaktovat naše obchodní oddělení a nechat si zpracovat individuální nabídku (www.greif.cz).</t>
        </r>
      </text>
    </comment>
    <comment ref="W44" authorId="0">
      <text>
        <r>
          <rPr>
            <sz val="10"/>
            <rFont val="Arial CE"/>
            <family val="0"/>
            <charset val="238"/>
          </rPr>
          <t xml:space="preserve">Počet buněk v tlumiči
</t>
        </r>
        <r>
          <rPr>
            <sz val="9"/>
            <color rgb="FF000000"/>
            <rFont val="Tahoma"/>
            <family val="2"/>
            <charset val="238"/>
          </rPr>
          <t xml:space="preserve">Určuje počet elementů, které jsou zapotřebí pro sestavení tlumiče hluku v celém jeho průtočném profilu.
</t>
        </r>
      </text>
    </comment>
    <comment ref="W45" authorId="0">
      <text>
        <r>
          <rPr>
            <sz val="10"/>
            <rFont val="Arial CE"/>
            <family val="0"/>
            <charset val="238"/>
          </rPr>
          <t xml:space="preserve">Hmotnost buněk bez potrubí
</t>
        </r>
        <r>
          <rPr>
            <sz val="9"/>
            <color rgb="FF000000"/>
            <rFont val="Tahoma"/>
            <family val="2"/>
            <charset val="238"/>
          </rPr>
          <t xml:space="preserve">Hmotnost všech buňkových tlumičů hluku bez potrubí (pouze vestavba).
</t>
        </r>
      </text>
    </comment>
    <comment ref="W46" authorId="0">
      <text>
        <r>
          <rPr>
            <sz val="10"/>
            <rFont val="Arial CE"/>
            <family val="0"/>
            <charset val="238"/>
          </rPr>
          <t xml:space="preserve">Celková cena buněk
</t>
        </r>
        <r>
          <rPr>
            <sz val="9"/>
            <color rgb="FF000000"/>
            <rFont val="Tahoma"/>
            <family val="2"/>
            <charset val="238"/>
          </rPr>
          <t xml:space="preserve">Jedná se o celkovou cenu za všechny elementy v tlumiči.
Cenu za kus získáte podělením ceny počtem buněk v tlumiči.
Cena je brutto v Kč, bez DPH, EXW Uhlířské Janovice, nebo Praha.
O výši rabatu se prosím informujte (www.greif.cz).
V ceně není zahrnuta cena potrubí.</t>
        </r>
      </text>
    </comment>
    <comment ref="Y10" authorId="0">
      <text>
        <r>
          <rPr>
            <sz val="10"/>
            <rFont val="Arial CE"/>
            <family val="0"/>
            <charset val="238"/>
          </rPr>
          <t xml:space="preserve">Typ akustického výkonu
</t>
        </r>
        <r>
          <rPr>
            <sz val="9"/>
            <color rgb="FF000000"/>
            <rFont val="Tahoma"/>
            <family val="2"/>
            <charset val="238"/>
          </rPr>
          <t xml:space="preserve">Určete, zdali budete počítat s lineárním spektrem, nebo budete zadávat spektrum korigované filtrem "A".
Zadejte "</t>
        </r>
        <r>
          <rPr>
            <b val="true"/>
            <sz val="9"/>
            <color rgb="FF000000"/>
            <rFont val="Tahoma"/>
            <family val="2"/>
            <charset val="238"/>
          </rPr>
          <t xml:space="preserve">L</t>
        </r>
        <r>
          <rPr>
            <sz val="9"/>
            <color rgb="FF000000"/>
            <rFont val="Tahoma"/>
            <family val="2"/>
            <charset val="238"/>
          </rPr>
          <t xml:space="preserve">" - pro výpočet s nekorigovaným spektrem (Lineárním)
Zadejte "</t>
        </r>
        <r>
          <rPr>
            <b val="true"/>
            <sz val="9"/>
            <color rgb="FF000000"/>
            <rFont val="Tahoma"/>
            <family val="2"/>
            <charset val="238"/>
          </rPr>
          <t xml:space="preserve">A</t>
        </r>
        <r>
          <rPr>
            <sz val="9"/>
            <color rgb="FF000000"/>
            <rFont val="Tahoma"/>
            <family val="2"/>
            <charset val="238"/>
          </rPr>
          <t xml:space="preserve">" - pro výpočet se spektrem, které je již korigováno filtrem "A"</t>
        </r>
      </text>
    </comment>
    <comment ref="AH37" authorId="0">
      <text>
        <r>
          <rPr>
            <sz val="9"/>
            <color rgb="FF000000"/>
            <rFont val="Tahoma"/>
            <family val="2"/>
            <charset val="238"/>
          </rPr>
          <t xml:space="preserve">Základní cena bez rabatu
</t>
        </r>
      </text>
    </comment>
  </commentList>
</comments>
</file>

<file path=xl/sharedStrings.xml><?xml version="1.0" encoding="utf-8"?>
<sst xmlns="http://schemas.openxmlformats.org/spreadsheetml/2006/main" count="255" uniqueCount="160">
  <si>
    <t xml:space="preserve">Návrh buňkových tlumičů G / GE / GH</t>
  </si>
  <si>
    <t xml:space="preserve">Verze: 1.1</t>
  </si>
  <si>
    <t xml:space="preserve">Popis výpočtu:</t>
  </si>
  <si>
    <t xml:space="preserve">Výpočtový program je určen pro návrh buňkových tlumičů hluku GREIF instalovaných ve vzduchotechnickém potrubí, nebo stavebně připravených kanálech. Návrh je možné provádět pro všechny standardně vyráběné typy buňkových tlumičů GE / G / GH uspořádané do sestav podle směrnice ITS102-01, kapitoly 5, obrázků a) a b).
Výpočet je omezen na běžné konstrukční podmínky. V případě složitějších návrhů je nutné tlumič poptat.</t>
  </si>
  <si>
    <t xml:space="preserve">Nejistota výpočtu:</t>
  </si>
  <si>
    <t xml:space="preserve">V září 2018 skončilo přechodné období a vešla v platnost nová, výrazně aktualizovaná norma ČSN EN ISO 9001:2016, která je základním kamenem kvality pro všechny seriózní výrobce. Hlavní změnou je mj. řízení rizik.
Z těchto důvodů uvádíme s útlumem hluku skutečnou odchylku. V oblasti metrologie se nejedná o nic nového, ale u prezentování katalogových hodnot útlumů je to novinka, která od projektanta vyžaduje posouzení instalace v širších souvislostech.
Důvodem je neznalost podmínek, za jakých bude tlumič pracovat. Proto je nutné, aby míru nejistoty posoudil projektant a zohlednil všechny faktory, které mají na útlum hluku vliv. Jsou to zejména neprůzvučnost a tuhost potrubí, ve kterém bude tlumič instalován, provozní podmínky, způsob měření výsledků atd. Je tedy na projektantovi, jakou míru rizika zvolí a odchylku přičte nebo odečte a v jaké velikosti. Námi prezentovaná rozšířená nejistota představuje interval, ve kterém s 95 % pravděpodobností bude ležet měřená hodnota při kombinaci zmíněných místních podmínek.
Je tedy zřejmé, že kvalitní návrh tlumení vyžaduje podrobnou znalost místních podmínek a řízení rizika. Vzhledem k tomu, že jsme již na novou normu recertifikovaní, jsme samozřejmě připraveni tyto rizika minimalizovat a projektantům nabídnout pomocnou ruku při řešení a aplikaci.
V podstatě se nejedná o nic nového, neboť po fyzikální stránce se takto chová každý soubor měření a nezáleží na výrobci nebo způsobu uvádění výsledků. My jako první toto aplikujeme a otevřeně nabízíme pomoc při řešení. Oporou nám jsou interní databáze měřených instalací, při kterých validujeme jednotlivé výsledky a porovnáváme účinnosti jednotlivých řešení.</t>
  </si>
  <si>
    <t xml:space="preserve">Odkaz na projekční katalogy (www.greif.cz):</t>
  </si>
  <si>
    <t xml:space="preserve">ITS101-01 - Buňkové tlumiče hluku GE (kašírované provedení)
ITS102-01 - Buňkové tlumiče hluku G (provedení s děrovaným plechem)
ITS103-01 - Buňkové tlumiče hluku GH (hygienické provedení)</t>
  </si>
  <si>
    <t xml:space="preserve">Kontakt:</t>
  </si>
  <si>
    <t xml:space="preserve">Vaše připomínky na zlepšení, případně objevené chyby můžete posílat na micka@greif.cz.
V případě, že budete potřebovat popoc s návrhem tlumičů, kontaktujte naší technickou podporu.</t>
  </si>
  <si>
    <t xml:space="preserve">Zatlumení zdroje - koncepce výpočtu:</t>
  </si>
  <si>
    <t xml:space="preserve">Data pro návrh buňkových tlumičů</t>
  </si>
  <si>
    <t xml:space="preserve">Zadejte žlutá pole, nebo vepište poznámky…</t>
  </si>
  <si>
    <t xml:space="preserve">Geometrie tlumičů:</t>
  </si>
  <si>
    <t xml:space="preserve">Podmínky výběru:</t>
  </si>
  <si>
    <t xml:space="preserve">Typ</t>
  </si>
  <si>
    <t xml:space="preserve">Šířka</t>
  </si>
  <si>
    <t xml:space="preserve">Stěna</t>
  </si>
  <si>
    <t xml:space="preserve">G</t>
  </si>
  <si>
    <t xml:space="preserve">Zadejte název projektu</t>
  </si>
  <si>
    <t xml:space="preserve">Check:</t>
  </si>
  <si>
    <t xml:space="preserve">Zadejte název tlumiče</t>
  </si>
  <si>
    <t xml:space="preserve">Tlaková ztráta:</t>
  </si>
  <si>
    <t xml:space="preserve">Zatlumení zdroje - výpočet:</t>
  </si>
  <si>
    <r>
      <rPr>
        <sz val="12"/>
        <rFont val="Arial Narrow"/>
        <family val="2"/>
        <charset val="238"/>
      </rPr>
      <t xml:space="preserve">Zadejte tvar hlukového spektra (</t>
    </r>
    <r>
      <rPr>
        <b val="true"/>
        <sz val="12"/>
        <rFont val="Arial Narrow"/>
        <family val="2"/>
        <charset val="238"/>
      </rPr>
      <t xml:space="preserve">L = </t>
    </r>
    <r>
      <rPr>
        <sz val="12"/>
        <rFont val="Arial Narrow"/>
        <family val="2"/>
        <charset val="238"/>
      </rPr>
      <t xml:space="preserve">lineární, </t>
    </r>
    <r>
      <rPr>
        <b val="true"/>
        <sz val="12"/>
        <rFont val="Arial Narrow"/>
        <family val="2"/>
        <charset val="238"/>
      </rPr>
      <t xml:space="preserve">A</t>
    </r>
    <r>
      <rPr>
        <sz val="12"/>
        <rFont val="Arial Narrow"/>
        <family val="2"/>
        <charset val="238"/>
      </rPr>
      <t xml:space="preserve"> = korigované)</t>
    </r>
  </si>
  <si>
    <t xml:space="preserve">L</t>
  </si>
  <si>
    <r>
      <rPr>
        <b val="true"/>
        <sz val="12"/>
        <rFont val="Arial Narrow"/>
        <family val="2"/>
        <charset val="238"/>
      </rPr>
      <t xml:space="preserve">dp</t>
    </r>
    <r>
      <rPr>
        <b val="true"/>
        <sz val="8"/>
        <rFont val="Arial Narrow"/>
        <family val="2"/>
        <charset val="238"/>
      </rPr>
      <t xml:space="preserve">t</t>
    </r>
  </si>
  <si>
    <t xml:space="preserve">=</t>
  </si>
  <si>
    <t xml:space="preserve">f</t>
  </si>
  <si>
    <t xml:space="preserve">Hz</t>
  </si>
  <si>
    <t xml:space="preserve">A</t>
  </si>
  <si>
    <t xml:space="preserve">GE</t>
  </si>
  <si>
    <t xml:space="preserve">Q</t>
  </si>
  <si>
    <r>
      <rPr>
        <sz val="10"/>
        <rFont val="Arial Narrow"/>
        <family val="2"/>
        <charset val="238"/>
      </rPr>
      <t xml:space="preserve">m</t>
    </r>
    <r>
      <rPr>
        <vertAlign val="superscript"/>
        <sz val="10"/>
        <rFont val="Arial Narrow"/>
        <family val="2"/>
        <charset val="238"/>
      </rPr>
      <t xml:space="preserve">3</t>
    </r>
    <r>
      <rPr>
        <sz val="10"/>
        <rFont val="Arial Narrow"/>
        <family val="2"/>
        <charset val="238"/>
      </rPr>
      <t xml:space="preserve">/h</t>
    </r>
  </si>
  <si>
    <t xml:space="preserve">celkový průtok vzduchu tlumičem</t>
  </si>
  <si>
    <t xml:space="preserve">dB</t>
  </si>
  <si>
    <t xml:space="preserve">a</t>
  </si>
  <si>
    <t xml:space="preserve">mm</t>
  </si>
  <si>
    <t xml:space="preserve">šířka potrubí (odpovídá násobkům šířky buňky)</t>
  </si>
  <si>
    <r>
      <rPr>
        <b val="true"/>
        <sz val="12"/>
        <rFont val="Arial Narrow"/>
        <family val="2"/>
        <charset val="238"/>
      </rPr>
      <t xml:space="preserve">D</t>
    </r>
    <r>
      <rPr>
        <b val="true"/>
        <sz val="8"/>
        <rFont val="Arial Narrow"/>
        <family val="2"/>
        <charset val="238"/>
      </rPr>
      <t xml:space="preserve">T</t>
    </r>
  </si>
  <si>
    <t xml:space="preserve">-</t>
  </si>
  <si>
    <t xml:space="preserve">b</t>
  </si>
  <si>
    <t xml:space="preserve">výška potrubí (skladem v násobcích 500 mm)</t>
  </si>
  <si>
    <t xml:space="preserve">GH</t>
  </si>
  <si>
    <t xml:space="preserve">délka tlumiče (1000, 1500 nebo 2000), atypy na vyžádání</t>
  </si>
  <si>
    <r>
      <rPr>
        <b val="true"/>
        <sz val="12"/>
        <rFont val="Arial Narrow"/>
        <family val="2"/>
        <charset val="238"/>
      </rPr>
      <t xml:space="preserve">D</t>
    </r>
    <r>
      <rPr>
        <b val="true"/>
        <sz val="8"/>
        <rFont val="Arial Narrow"/>
        <family val="2"/>
        <charset val="238"/>
      </rPr>
      <t xml:space="preserve">P</t>
    </r>
  </si>
  <si>
    <t xml:space="preserve">typ</t>
  </si>
  <si>
    <t xml:space="preserve">zadejte typ tlumiče "G", "GE" nebo "GH"</t>
  </si>
  <si>
    <t xml:space="preserve">š</t>
  </si>
  <si>
    <t xml:space="preserve">šířka buňky (200, 250, 300, 400, 500)</t>
  </si>
  <si>
    <t xml:space="preserve">(volte rozměry: 200, 250, 400 a 500)</t>
  </si>
  <si>
    <r>
      <rPr>
        <b val="true"/>
        <sz val="12"/>
        <rFont val="Arial Narrow"/>
        <family val="2"/>
        <charset val="238"/>
      </rPr>
      <t xml:space="preserve">D</t>
    </r>
    <r>
      <rPr>
        <b val="true"/>
        <sz val="8"/>
        <rFont val="Arial Narrow"/>
        <family val="2"/>
        <charset val="238"/>
      </rPr>
      <t xml:space="preserve">C</t>
    </r>
  </si>
  <si>
    <r>
      <rPr>
        <b val="true"/>
        <sz val="12"/>
        <rFont val="Arial Narrow"/>
        <family val="2"/>
        <charset val="238"/>
      </rPr>
      <t xml:space="preserve">dz</t>
    </r>
    <r>
      <rPr>
        <b val="true"/>
        <sz val="8"/>
        <rFont val="Arial Narrow"/>
        <family val="2"/>
        <charset val="238"/>
      </rPr>
      <t xml:space="preserve">1</t>
    </r>
  </si>
  <si>
    <r>
      <rPr>
        <sz val="12"/>
        <rFont val="Arial Narrow"/>
        <family val="2"/>
        <charset val="238"/>
      </rPr>
      <t xml:space="preserve">bez náběhu dz</t>
    </r>
    <r>
      <rPr>
        <sz val="8"/>
        <rFont val="Arial Narrow"/>
        <family val="2"/>
        <charset val="238"/>
      </rPr>
      <t xml:space="preserve">1</t>
    </r>
    <r>
      <rPr>
        <sz val="12"/>
        <rFont val="Arial Narrow"/>
        <family val="2"/>
        <charset val="238"/>
      </rPr>
      <t xml:space="preserve">=1, s náběhem dz</t>
    </r>
    <r>
      <rPr>
        <sz val="8"/>
        <rFont val="Arial Narrow"/>
        <family val="2"/>
        <charset val="238"/>
      </rPr>
      <t xml:space="preserve">1</t>
    </r>
    <r>
      <rPr>
        <sz val="12"/>
        <rFont val="Arial Narrow"/>
        <family val="2"/>
        <charset val="238"/>
      </rPr>
      <t xml:space="preserve">=0,1</t>
    </r>
  </si>
  <si>
    <r>
      <rPr>
        <b val="true"/>
        <sz val="12"/>
        <rFont val="Arial Narrow"/>
        <family val="2"/>
        <charset val="238"/>
      </rPr>
      <t xml:space="preserve">dz</t>
    </r>
    <r>
      <rPr>
        <b val="true"/>
        <sz val="8"/>
        <rFont val="Arial Narrow"/>
        <family val="2"/>
        <charset val="238"/>
      </rPr>
      <t xml:space="preserve">2</t>
    </r>
  </si>
  <si>
    <r>
      <rPr>
        <sz val="12"/>
        <rFont val="Arial Narrow"/>
        <family val="2"/>
        <charset val="238"/>
      </rPr>
      <t xml:space="preserve">bez výběhu dz</t>
    </r>
    <r>
      <rPr>
        <sz val="8"/>
        <rFont val="Arial Narrow"/>
        <family val="2"/>
        <charset val="238"/>
      </rPr>
      <t xml:space="preserve">2</t>
    </r>
    <r>
      <rPr>
        <sz val="12"/>
        <rFont val="Arial Narrow"/>
        <family val="2"/>
        <charset val="238"/>
      </rPr>
      <t xml:space="preserve">=1, s výběhem dz</t>
    </r>
    <r>
      <rPr>
        <sz val="8"/>
        <rFont val="Arial Narrow"/>
        <family val="2"/>
        <charset val="238"/>
      </rPr>
      <t xml:space="preserve">2</t>
    </r>
    <r>
      <rPr>
        <sz val="12"/>
        <rFont val="Arial Narrow"/>
        <family val="2"/>
        <charset val="238"/>
      </rPr>
      <t xml:space="preserve">=0,7</t>
    </r>
  </si>
  <si>
    <t xml:space="preserve">Graf - [dB / Hz]:</t>
  </si>
  <si>
    <t xml:space="preserve">t</t>
  </si>
  <si>
    <t xml:space="preserve">°C</t>
  </si>
  <si>
    <t xml:space="preserve">teplota vzduchu (-50 až 200°C)</t>
  </si>
  <si>
    <t xml:space="preserve">Korekční křivka:</t>
  </si>
  <si>
    <t xml:space="preserve">p</t>
  </si>
  <si>
    <t xml:space="preserve">Pa</t>
  </si>
  <si>
    <t xml:space="preserve">statický tlak v potrubí (98000 až 110000 Pa)</t>
  </si>
  <si>
    <t xml:space="preserve">res</t>
  </si>
  <si>
    <t xml:space="preserve">%</t>
  </si>
  <si>
    <t xml:space="preserve">rezerva na místní podmínky</t>
  </si>
  <si>
    <t xml:space="preserve">ro</t>
  </si>
  <si>
    <r>
      <rPr>
        <sz val="10"/>
        <rFont val="Arial Narrow"/>
        <family val="2"/>
        <charset val="238"/>
      </rPr>
      <t xml:space="preserve">kg/m</t>
    </r>
    <r>
      <rPr>
        <vertAlign val="superscript"/>
        <sz val="10"/>
        <rFont val="Arial Narrow"/>
        <family val="2"/>
        <charset val="238"/>
      </rPr>
      <t xml:space="preserve">3</t>
    </r>
  </si>
  <si>
    <t xml:space="preserve">hustota vzduchu</t>
  </si>
  <si>
    <t xml:space="preserve">w</t>
  </si>
  <si>
    <t xml:space="preserve">m/s</t>
  </si>
  <si>
    <t xml:space="preserve">rychlost proudění vzduchu v profilu a x b</t>
  </si>
  <si>
    <t xml:space="preserve">Hladiny hluku:</t>
  </si>
  <si>
    <t xml:space="preserve">n</t>
  </si>
  <si>
    <t xml:space="preserve">ks</t>
  </si>
  <si>
    <t xml:space="preserve">počet buněk v řadě vedle sebe (= a/š)</t>
  </si>
  <si>
    <t xml:space="preserve">SUM</t>
  </si>
  <si>
    <t xml:space="preserve">s</t>
  </si>
  <si>
    <t xml:space="preserve">průtočná mezera v buňce</t>
  </si>
  <si>
    <r>
      <rPr>
        <sz val="12"/>
        <rFont val="Arial Narrow"/>
        <family val="2"/>
        <charset val="238"/>
      </rPr>
      <t xml:space="preserve">L</t>
    </r>
    <r>
      <rPr>
        <sz val="9"/>
        <rFont val="Arial Narrow"/>
        <family val="2"/>
        <charset val="238"/>
      </rPr>
      <t xml:space="preserve">WZ-Lin</t>
    </r>
  </si>
  <si>
    <r>
      <rPr>
        <b val="true"/>
        <sz val="12"/>
        <rFont val="Arial Narrow"/>
        <family val="2"/>
        <charset val="238"/>
      </rPr>
      <t xml:space="preserve">w</t>
    </r>
    <r>
      <rPr>
        <b val="true"/>
        <sz val="8"/>
        <rFont val="Arial Narrow"/>
        <family val="2"/>
        <charset val="238"/>
      </rPr>
      <t xml:space="preserve">i</t>
    </r>
  </si>
  <si>
    <r>
      <rPr>
        <sz val="12"/>
        <rFont val="Arial Narrow"/>
        <family val="2"/>
        <charset val="238"/>
      </rPr>
      <t xml:space="preserve">L</t>
    </r>
    <r>
      <rPr>
        <sz val="9"/>
        <rFont val="Arial Narrow"/>
        <family val="2"/>
        <charset val="238"/>
      </rPr>
      <t xml:space="preserve">WZ-A</t>
    </r>
  </si>
  <si>
    <t xml:space="preserve">dBA</t>
  </si>
  <si>
    <r>
      <rPr>
        <b val="true"/>
        <sz val="12"/>
        <rFont val="Arial Narrow"/>
        <family val="2"/>
        <charset val="238"/>
      </rPr>
      <t xml:space="preserve">dz</t>
    </r>
    <r>
      <rPr>
        <b val="true"/>
        <sz val="8"/>
        <rFont val="Arial Narrow"/>
        <family val="2"/>
        <charset val="238"/>
      </rPr>
      <t xml:space="preserve">s</t>
    </r>
  </si>
  <si>
    <t xml:space="preserve">součinitel tlakové ztráty pro náběh a výběh</t>
  </si>
  <si>
    <r>
      <rPr>
        <sz val="12"/>
        <rFont val="Arial Narrow"/>
        <family val="2"/>
        <charset val="238"/>
      </rPr>
      <t xml:space="preserve">D</t>
    </r>
    <r>
      <rPr>
        <sz val="8"/>
        <rFont val="Arial Narrow"/>
        <family val="2"/>
        <charset val="238"/>
      </rPr>
      <t xml:space="preserve">T</t>
    </r>
  </si>
  <si>
    <r>
      <rPr>
        <b val="true"/>
        <sz val="12"/>
        <rFont val="Arial Narrow"/>
        <family val="2"/>
        <charset val="238"/>
      </rPr>
      <t xml:space="preserve">dz</t>
    </r>
    <r>
      <rPr>
        <b val="true"/>
        <sz val="8"/>
        <rFont val="Arial Narrow"/>
        <family val="2"/>
        <charset val="238"/>
      </rPr>
      <t xml:space="preserve">f</t>
    </r>
  </si>
  <si>
    <t xml:space="preserve">součinitel tlakové ztráty třením v tlumiči</t>
  </si>
  <si>
    <r>
      <rPr>
        <sz val="12"/>
        <rFont val="Arial Narrow"/>
        <family val="2"/>
        <charset val="238"/>
      </rPr>
      <t xml:space="preserve">L</t>
    </r>
    <r>
      <rPr>
        <sz val="8"/>
        <rFont val="Arial Narrow"/>
        <family val="2"/>
        <charset val="238"/>
      </rPr>
      <t xml:space="preserve">WT-Lin</t>
    </r>
  </si>
  <si>
    <r>
      <rPr>
        <b val="true"/>
        <sz val="12"/>
        <rFont val="Arial Narrow"/>
        <family val="2"/>
        <charset val="238"/>
      </rPr>
      <t xml:space="preserve">dz</t>
    </r>
    <r>
      <rPr>
        <b val="true"/>
        <sz val="8"/>
        <rFont val="Arial Narrow"/>
        <family val="2"/>
        <charset val="238"/>
      </rPr>
      <t xml:space="preserve">c</t>
    </r>
  </si>
  <si>
    <r>
      <rPr>
        <sz val="12"/>
        <rFont val="Arial Narrow"/>
        <family val="2"/>
        <charset val="238"/>
      </rPr>
      <t xml:space="preserve">celkový součinitel tlakové ztráty tlumiče (dz</t>
    </r>
    <r>
      <rPr>
        <sz val="8"/>
        <rFont val="Arial Narrow"/>
        <family val="2"/>
        <charset val="238"/>
      </rPr>
      <t xml:space="preserve">s</t>
    </r>
    <r>
      <rPr>
        <sz val="12"/>
        <rFont val="Arial Narrow"/>
        <family val="2"/>
        <charset val="238"/>
      </rPr>
      <t xml:space="preserve">+dz</t>
    </r>
    <r>
      <rPr>
        <sz val="8"/>
        <rFont val="Arial Narrow"/>
        <family val="2"/>
        <charset val="238"/>
      </rPr>
      <t xml:space="preserve">f</t>
    </r>
    <r>
      <rPr>
        <sz val="12"/>
        <rFont val="Arial Narrow"/>
        <family val="2"/>
        <charset val="238"/>
      </rPr>
      <t xml:space="preserve">)</t>
    </r>
  </si>
  <si>
    <r>
      <rPr>
        <sz val="12"/>
        <rFont val="Arial Narrow"/>
        <family val="2"/>
        <charset val="238"/>
      </rPr>
      <t xml:space="preserve">L</t>
    </r>
    <r>
      <rPr>
        <sz val="8"/>
        <rFont val="Arial Narrow"/>
        <family val="2"/>
        <charset val="238"/>
      </rPr>
      <t xml:space="preserve">WT-A</t>
    </r>
  </si>
  <si>
    <t xml:space="preserve">c</t>
  </si>
  <si>
    <t xml:space="preserve">rychlost zvuku ve vzduchu při teplotě t</t>
  </si>
  <si>
    <r>
      <rPr>
        <sz val="12"/>
        <rFont val="Arial Narrow"/>
        <family val="2"/>
        <charset val="238"/>
      </rPr>
      <t xml:space="preserve">D</t>
    </r>
    <r>
      <rPr>
        <sz val="8"/>
        <rFont val="Arial Narrow"/>
        <family val="2"/>
        <charset val="238"/>
      </rPr>
      <t xml:space="preserve">P</t>
    </r>
  </si>
  <si>
    <t xml:space="preserve">Ma</t>
  </si>
  <si>
    <t xml:space="preserve">Machovo číslo</t>
  </si>
  <si>
    <r>
      <rPr>
        <sz val="12"/>
        <rFont val="Arial Narrow"/>
        <family val="2"/>
        <charset val="238"/>
      </rPr>
      <t xml:space="preserve">L</t>
    </r>
    <r>
      <rPr>
        <sz val="8"/>
        <rFont val="Arial Narrow"/>
        <family val="2"/>
        <charset val="238"/>
      </rPr>
      <t xml:space="preserve">WC-Lin</t>
    </r>
  </si>
  <si>
    <t xml:space="preserve">S</t>
  </si>
  <si>
    <r>
      <rPr>
        <sz val="10"/>
        <rFont val="Arial Narrow"/>
        <family val="2"/>
        <charset val="238"/>
      </rPr>
      <t xml:space="preserve">m</t>
    </r>
    <r>
      <rPr>
        <vertAlign val="superscript"/>
        <sz val="10"/>
        <rFont val="Arial Narrow"/>
        <family val="2"/>
        <charset val="238"/>
      </rPr>
      <t xml:space="preserve">2</t>
    </r>
  </si>
  <si>
    <t xml:space="preserve">plocha nejmenšího průtočného průřezu buňkového tlumiče</t>
  </si>
  <si>
    <r>
      <rPr>
        <sz val="12"/>
        <rFont val="Arial Narrow"/>
        <family val="2"/>
        <charset val="238"/>
      </rPr>
      <t xml:space="preserve">L</t>
    </r>
    <r>
      <rPr>
        <sz val="8"/>
        <rFont val="Arial Narrow"/>
        <family val="2"/>
        <charset val="238"/>
      </rPr>
      <t xml:space="preserve">WC-A</t>
    </r>
  </si>
  <si>
    <t xml:space="preserve">H</t>
  </si>
  <si>
    <t xml:space="preserve">m</t>
  </si>
  <si>
    <t xml:space="preserve">největší příčný rozměr potrubí</t>
  </si>
  <si>
    <r>
      <rPr>
        <sz val="12"/>
        <rFont val="Arial Narrow"/>
        <family val="2"/>
        <charset val="238"/>
      </rPr>
      <t xml:space="preserve">D</t>
    </r>
    <r>
      <rPr>
        <sz val="8"/>
        <rFont val="Arial Narrow"/>
        <family val="2"/>
        <charset val="238"/>
      </rPr>
      <t xml:space="preserve">C</t>
    </r>
  </si>
  <si>
    <t xml:space="preserve">delta</t>
  </si>
  <si>
    <t xml:space="preserve">spektrální obsah vysokých kmitočtů</t>
  </si>
  <si>
    <r>
      <rPr>
        <b val="true"/>
        <sz val="12"/>
        <rFont val="Arial Narrow"/>
        <family val="2"/>
        <charset val="238"/>
      </rPr>
      <t xml:space="preserve">W</t>
    </r>
    <r>
      <rPr>
        <b val="true"/>
        <sz val="8"/>
        <rFont val="Arial Narrow"/>
        <family val="2"/>
        <charset val="238"/>
      </rPr>
      <t xml:space="preserve">0</t>
    </r>
  </si>
  <si>
    <t xml:space="preserve">W</t>
  </si>
  <si>
    <t xml:space="preserve">referenční výkon</t>
  </si>
  <si>
    <t xml:space="preserve">Data katalog:</t>
  </si>
  <si>
    <t xml:space="preserve">Podmínky výběru DT:</t>
  </si>
  <si>
    <t xml:space="preserve">B</t>
  </si>
  <si>
    <t xml:space="preserve">konstanta tlumiče</t>
  </si>
  <si>
    <t xml:space="preserve">Označení tlumiče</t>
  </si>
  <si>
    <t xml:space="preserve">Délka</t>
  </si>
  <si>
    <t xml:space="preserve">Váha</t>
  </si>
  <si>
    <t xml:space="preserve">Cena</t>
  </si>
  <si>
    <t xml:space="preserve">Výpočet je proveden dle ČSN EN ISO 14163, odhad nepřesnosti ± 10%</t>
  </si>
  <si>
    <t xml:space="preserve">G200x500x1000</t>
  </si>
  <si>
    <t xml:space="preserve">Vlastní hluk:</t>
  </si>
  <si>
    <t xml:space="preserve">G200x500x1500</t>
  </si>
  <si>
    <t xml:space="preserve">G200x500x2000</t>
  </si>
  <si>
    <r>
      <rPr>
        <b val="true"/>
        <sz val="12"/>
        <rFont val="Arial Narrow"/>
        <family val="2"/>
        <charset val="238"/>
      </rPr>
      <t xml:space="preserve">L</t>
    </r>
    <r>
      <rPr>
        <b val="true"/>
        <sz val="8"/>
        <rFont val="Arial Narrow"/>
        <family val="2"/>
        <charset val="238"/>
      </rPr>
      <t xml:space="preserve">WT-Lin</t>
    </r>
  </si>
  <si>
    <t xml:space="preserve">G250x500x1000</t>
  </si>
  <si>
    <t xml:space="preserve">Výpočet je proveden dle ČSN EN ISO 14163, odhad nepřesnosti ± 3 dB</t>
  </si>
  <si>
    <t xml:space="preserve">G250x500x1500</t>
  </si>
  <si>
    <t xml:space="preserve">Ozačení tlumiče:</t>
  </si>
  <si>
    <t xml:space="preserve">Útlum a váha buňkového tlumiče:</t>
  </si>
  <si>
    <t xml:space="preserve">Závěrečné shrnutí výsledků:</t>
  </si>
  <si>
    <t xml:space="preserve">G250x500x2000</t>
  </si>
  <si>
    <t xml:space="preserve">M</t>
  </si>
  <si>
    <t xml:space="preserve">Instalační rozměr potrubí</t>
  </si>
  <si>
    <t xml:space="preserve">Počet buňek v tlumiči</t>
  </si>
  <si>
    <t xml:space="preserve">G300x500x2000</t>
  </si>
  <si>
    <t xml:space="preserve">kg/ks</t>
  </si>
  <si>
    <t xml:space="preserve">Hmotnost bez potrubí</t>
  </si>
  <si>
    <t xml:space="preserve">G400x500x2000</t>
  </si>
  <si>
    <t xml:space="preserve">Cena tlumiče:</t>
  </si>
  <si>
    <t xml:space="preserve">2sigR</t>
  </si>
  <si>
    <t xml:space="preserve">Brutto cena buňkových tlumičů bez potrubí (bez DPH, EXW Uhlířské Janovice)</t>
  </si>
  <si>
    <t xml:space="preserve">G500x500x2000</t>
  </si>
  <si>
    <t xml:space="preserve">Kč/ks</t>
  </si>
  <si>
    <t xml:space="preserve">GE200x500x1000</t>
  </si>
  <si>
    <t xml:space="preserve">GE200x500x1500</t>
  </si>
  <si>
    <t xml:space="preserve">GE250x500x1000</t>
  </si>
  <si>
    <t xml:space="preserve">GE250x500x1500</t>
  </si>
  <si>
    <t xml:space="preserve">GE300x500x1000</t>
  </si>
  <si>
    <t xml:space="preserve">GE300x500x1500</t>
  </si>
  <si>
    <t xml:space="preserve">GH200x500x1000</t>
  </si>
  <si>
    <t xml:space="preserve">GH200x500x1500</t>
  </si>
  <si>
    <t xml:space="preserve">GH200x500x2000</t>
  </si>
  <si>
    <t xml:space="preserve">GH250x500x1000</t>
  </si>
  <si>
    <t xml:space="preserve">GH250x500x1500</t>
  </si>
  <si>
    <t xml:space="preserve">GH250x500x2000</t>
  </si>
  <si>
    <t xml:space="preserve">GH300x500x2000</t>
  </si>
  <si>
    <t xml:space="preserve">GH400x500x2000</t>
  </si>
  <si>
    <t xml:space="preserve">GH500x500x2000</t>
  </si>
</sst>
</file>

<file path=xl/styles.xml><?xml version="1.0" encoding="utf-8"?>
<styleSheet xmlns="http://schemas.openxmlformats.org/spreadsheetml/2006/main">
  <numFmts count="14">
    <numFmt numFmtId="164" formatCode="General"/>
    <numFmt numFmtId="165" formatCode="d/m/yyyy"/>
    <numFmt numFmtId="166" formatCode="#,##0"/>
    <numFmt numFmtId="167" formatCode="General"/>
    <numFmt numFmtId="168" formatCode="0\="/>
    <numFmt numFmtId="169" formatCode="0&quot; Pa&quot;"/>
    <numFmt numFmtId="170" formatCode="0"/>
    <numFmt numFmtId="171" formatCode="#,##0.0"/>
    <numFmt numFmtId="172" formatCode="#,##0.00"/>
    <numFmt numFmtId="173" formatCode="0\ %"/>
    <numFmt numFmtId="174" formatCode="0&quot; ks&quot;"/>
    <numFmt numFmtId="175" formatCode="0&quot; kg&quot;"/>
    <numFmt numFmtId="176" formatCode="&quot; ±&quot;0"/>
    <numFmt numFmtId="177" formatCode="#,##0&quot; Kč&quot;"/>
  </numFmts>
  <fonts count="30">
    <font>
      <sz val="10"/>
      <name val="Arial CE"/>
      <family val="0"/>
      <charset val="238"/>
    </font>
    <font>
      <sz val="10"/>
      <name val="Arial"/>
      <family val="0"/>
      <charset val="238"/>
    </font>
    <font>
      <sz val="10"/>
      <name val="Arial"/>
      <family val="0"/>
      <charset val="238"/>
    </font>
    <font>
      <sz val="10"/>
      <name val="Arial"/>
      <family val="0"/>
      <charset val="238"/>
    </font>
    <font>
      <sz val="12"/>
      <name val="Arial Narrow"/>
      <family val="2"/>
      <charset val="238"/>
    </font>
    <font>
      <sz val="8"/>
      <name val="Arial Narrow"/>
      <family val="2"/>
      <charset val="238"/>
    </font>
    <font>
      <b val="true"/>
      <sz val="20"/>
      <name val="Arial Narrow"/>
      <family val="2"/>
      <charset val="238"/>
    </font>
    <font>
      <b val="true"/>
      <sz val="12"/>
      <name val="Arial Narrow"/>
      <family val="2"/>
      <charset val="238"/>
    </font>
    <font>
      <sz val="12"/>
      <color rgb="FFBFBFBF"/>
      <name val="Arial Narrow"/>
      <family val="2"/>
      <charset val="238"/>
    </font>
    <font>
      <b val="true"/>
      <sz val="12"/>
      <color rgb="FFBFBFBF"/>
      <name val="Arial Narrow"/>
      <family val="2"/>
      <charset val="238"/>
    </font>
    <font>
      <sz val="16"/>
      <color rgb="FF000000"/>
      <name val="Impact"/>
      <family val="2"/>
      <charset val="238"/>
    </font>
    <font>
      <b val="true"/>
      <sz val="12"/>
      <color rgb="FFFFFFFF"/>
      <name val="Arial Narrow"/>
      <family val="2"/>
      <charset val="238"/>
    </font>
    <font>
      <b val="true"/>
      <sz val="10"/>
      <color rgb="FFFF0000"/>
      <name val="Arial Narrow"/>
      <family val="2"/>
      <charset val="238"/>
    </font>
    <font>
      <b val="true"/>
      <sz val="8"/>
      <name val="Arial Narrow"/>
      <family val="2"/>
      <charset val="238"/>
    </font>
    <font>
      <sz val="10"/>
      <name val="Arial Narrow"/>
      <family val="2"/>
      <charset val="238"/>
    </font>
    <font>
      <vertAlign val="superscript"/>
      <sz val="10"/>
      <name val="Arial Narrow"/>
      <family val="2"/>
      <charset val="238"/>
    </font>
    <font>
      <sz val="12"/>
      <color rgb="FFFFFFFF"/>
      <name val="Arial Narrow"/>
      <family val="2"/>
      <charset val="238"/>
    </font>
    <font>
      <b val="true"/>
      <sz val="10"/>
      <name val="Arial Narrow"/>
      <family val="2"/>
      <charset val="238"/>
    </font>
    <font>
      <sz val="12"/>
      <color rgb="FFD9D9D9"/>
      <name val="Arial Narrow"/>
      <family val="2"/>
      <charset val="238"/>
    </font>
    <font>
      <sz val="12"/>
      <name val="Calibri"/>
      <family val="2"/>
      <charset val="238"/>
    </font>
    <font>
      <sz val="9"/>
      <name val="Arial Narrow"/>
      <family val="2"/>
      <charset val="238"/>
    </font>
    <font>
      <sz val="9"/>
      <color rgb="FF000000"/>
      <name val="Tahoma"/>
      <family val="2"/>
      <charset val="238"/>
    </font>
    <font>
      <b val="true"/>
      <sz val="9"/>
      <color rgb="FF000000"/>
      <name val="Tahoma"/>
      <family val="2"/>
      <charset val="238"/>
    </font>
    <font>
      <sz val="10"/>
      <color rgb="FF000000"/>
      <name val="Arial Narrow"/>
      <family val="2"/>
    </font>
    <font>
      <sz val="10"/>
      <color rgb="FF000000"/>
      <name val="Corbel"/>
      <family val="2"/>
    </font>
    <font>
      <b val="true"/>
      <sz val="11"/>
      <color rgb="FFFFFFFF"/>
      <name val="Arial Narrow"/>
      <family val="2"/>
      <charset val="238"/>
    </font>
    <font>
      <b val="true"/>
      <sz val="8"/>
      <color rgb="FFFFFFFF"/>
      <name val="Arial Narrow"/>
      <family val="2"/>
      <charset val="238"/>
    </font>
    <font>
      <b val="true"/>
      <sz val="11"/>
      <color rgb="FF000000"/>
      <name val="Arial Narrow"/>
      <family val="2"/>
      <charset val="238"/>
    </font>
    <font>
      <b val="true"/>
      <sz val="8"/>
      <color rgb="FF000000"/>
      <name val="Arial Narrow"/>
      <family val="2"/>
      <charset val="238"/>
    </font>
    <font>
      <b val="true"/>
      <sz val="11"/>
      <color rgb="FFFFFFFF"/>
      <name val="Corbel"/>
      <family val="0"/>
      <charset val="238"/>
    </font>
  </fonts>
  <fills count="5">
    <fill>
      <patternFill patternType="none"/>
    </fill>
    <fill>
      <patternFill patternType="gray125"/>
    </fill>
    <fill>
      <patternFill patternType="solid">
        <fgColor rgb="FF006F3D"/>
        <bgColor rgb="FF008080"/>
      </patternFill>
    </fill>
    <fill>
      <patternFill patternType="solid">
        <fgColor rgb="FFFFFFFF"/>
        <bgColor rgb="FFFFFFC8"/>
      </patternFill>
    </fill>
    <fill>
      <patternFill patternType="solid">
        <fgColor rgb="FFFFFFC8"/>
        <bgColor rgb="FFFFFF99"/>
      </patternFill>
    </fill>
  </fills>
  <borders count="14">
    <border diagonalUp="false" diagonalDown="false">
      <left/>
      <right/>
      <top/>
      <bottom/>
      <diagonal/>
    </border>
    <border diagonalUp="false" diagonalDown="false">
      <left style="thin"/>
      <right style="thin"/>
      <top style="thin"/>
      <bottom style="thin"/>
      <diagonal/>
    </border>
    <border diagonalUp="false" diagonalDown="false">
      <left/>
      <right/>
      <top/>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right style="thin"/>
      <top/>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center" vertical="center" textRotation="0" wrapText="false" indent="0" shrinkToFit="false"/>
      <protection locked="true" hidden="true"/>
    </xf>
    <xf numFmtId="165" fontId="4" fillId="0" borderId="0" xfId="0" applyFont="true" applyBorder="false" applyAlignment="true" applyProtection="true">
      <alignment horizontal="general" vertical="center" textRotation="0" wrapText="false" indent="0" shrinkToFit="false"/>
      <protection locked="true" hidden="true"/>
    </xf>
    <xf numFmtId="164" fontId="5" fillId="0" borderId="0" xfId="0" applyFont="true" applyBorder="false" applyAlignment="true" applyProtection="true">
      <alignment horizontal="right" vertical="center" textRotation="0" wrapText="false" indent="0" shrinkToFit="false"/>
      <protection locked="true" hidden="true"/>
    </xf>
    <xf numFmtId="164" fontId="6" fillId="0" borderId="0" xfId="0" applyFont="true" applyBorder="true" applyAlignment="true" applyProtection="true">
      <alignment horizontal="left" vertical="center" textRotation="0" wrapText="false" indent="0" shrinkToFit="false"/>
      <protection locked="true" hidden="true"/>
    </xf>
    <xf numFmtId="164" fontId="7" fillId="0" borderId="0" xfId="0" applyFont="true" applyBorder="true" applyAlignment="true" applyProtection="true">
      <alignment horizontal="center" vertical="center" textRotation="0" wrapText="false" indent="0" shrinkToFit="false"/>
      <protection locked="true" hidden="true"/>
    </xf>
    <xf numFmtId="164" fontId="6" fillId="0" borderId="0" xfId="0" applyFont="true" applyBorder="false" applyAlignment="true" applyProtection="true">
      <alignment horizontal="left" vertical="center" textRotation="0" wrapText="false" indent="0" shrinkToFit="false"/>
      <protection locked="true" hidden="true"/>
    </xf>
    <xf numFmtId="165" fontId="7" fillId="0" borderId="0" xfId="0" applyFont="true" applyBorder="true" applyAlignment="true" applyProtection="true">
      <alignment horizontal="center" vertical="center" textRotation="0" wrapText="false" indent="0" shrinkToFit="false"/>
      <protection locked="true" hidden="true"/>
    </xf>
    <xf numFmtId="164" fontId="8" fillId="0" borderId="0" xfId="0" applyFont="true" applyBorder="true" applyAlignment="true" applyProtection="true">
      <alignment horizontal="general" vertical="center" textRotation="0" wrapText="false" indent="0" shrinkToFit="false"/>
      <protection locked="true" hidden="true"/>
    </xf>
    <xf numFmtId="164" fontId="8" fillId="0" borderId="0" xfId="0" applyFont="true" applyBorder="true" applyAlignment="true" applyProtection="true">
      <alignment horizontal="left" vertical="center" textRotation="0" wrapText="false" indent="0" shrinkToFit="false"/>
      <protection locked="true" hidden="true"/>
    </xf>
    <xf numFmtId="164" fontId="9" fillId="0" borderId="0" xfId="0" applyFont="true" applyBorder="true" applyAlignment="true" applyProtection="true">
      <alignment horizontal="left" vertical="top" textRotation="0" wrapText="true" indent="0" shrinkToFit="false"/>
      <protection locked="true" hidden="true"/>
    </xf>
    <xf numFmtId="164" fontId="4" fillId="0" borderId="0" xfId="0" applyFont="true" applyBorder="true" applyAlignment="true" applyProtection="true">
      <alignment horizontal="left" vertical="top" textRotation="0" wrapText="true" indent="0" shrinkToFit="false"/>
      <protection locked="true" hidden="true"/>
    </xf>
    <xf numFmtId="164" fontId="4" fillId="0" borderId="0" xfId="0" applyFont="true" applyBorder="true" applyAlignment="true" applyProtection="true">
      <alignment horizontal="general" vertical="top" textRotation="0" wrapText="true" indent="0" shrinkToFit="false"/>
      <protection locked="true" hidden="true"/>
    </xf>
    <xf numFmtId="164" fontId="7" fillId="0" borderId="0" xfId="0" applyFont="true" applyBorder="true" applyAlignment="true" applyProtection="true">
      <alignment horizontal="left" vertical="top" textRotation="0" wrapText="true" indent="0" shrinkToFit="false"/>
      <protection locked="true" hidden="true"/>
    </xf>
    <xf numFmtId="164" fontId="7" fillId="0" borderId="0" xfId="0" applyFont="true" applyBorder="true" applyAlignment="true" applyProtection="true">
      <alignment horizontal="left" vertical="center" textRotation="0" wrapText="false" indent="0" shrinkToFit="false"/>
      <protection locked="true" hidden="true"/>
    </xf>
    <xf numFmtId="164" fontId="4" fillId="0" borderId="0" xfId="0" applyFont="true" applyBorder="true" applyAlignment="true" applyProtection="true">
      <alignment horizontal="left" vertical="center" textRotation="0" wrapText="true" indent="0" shrinkToFit="false"/>
      <protection locked="true" hidden="true"/>
    </xf>
    <xf numFmtId="164" fontId="4" fillId="0" borderId="0" xfId="0" applyFont="true" applyBorder="true" applyAlignment="true" applyProtection="true">
      <alignment horizontal="center" vertical="center" textRotation="0" wrapText="false" indent="0" shrinkToFit="false"/>
      <protection locked="true" hidden="true"/>
    </xf>
    <xf numFmtId="164" fontId="11" fillId="2" borderId="1" xfId="0" applyFont="true" applyBorder="true" applyAlignment="true" applyProtection="true">
      <alignment horizontal="left" vertical="center" textRotation="0" wrapText="false" indent="0" shrinkToFit="false"/>
      <protection locked="true" hidden="true"/>
    </xf>
    <xf numFmtId="164" fontId="7" fillId="0" borderId="1" xfId="0" applyFont="true" applyBorder="true" applyAlignment="true" applyProtection="true">
      <alignment horizontal="center" vertical="center" textRotation="0" wrapText="false" indent="0" shrinkToFit="false"/>
      <protection locked="true" hidden="true"/>
    </xf>
    <xf numFmtId="164" fontId="4" fillId="0" borderId="1" xfId="0" applyFont="true" applyBorder="true" applyAlignment="true" applyProtection="true">
      <alignment horizontal="center" vertical="center" textRotation="0" wrapText="false" indent="0" shrinkToFit="false"/>
      <protection locked="true" hidden="true"/>
    </xf>
    <xf numFmtId="166" fontId="4" fillId="0" borderId="1" xfId="0" applyFont="true" applyBorder="true" applyAlignment="true" applyProtection="true">
      <alignment horizontal="center" vertical="center" textRotation="0" wrapText="false" indent="0" shrinkToFit="false"/>
      <protection locked="true" hidden="true"/>
    </xf>
    <xf numFmtId="167" fontId="7" fillId="0" borderId="1" xfId="0" applyFont="true" applyBorder="true" applyAlignment="true" applyProtection="true">
      <alignment horizontal="center" vertical="center" textRotation="0" wrapText="false" indent="0" shrinkToFit="false"/>
      <protection locked="true" hidden="true"/>
    </xf>
    <xf numFmtId="164" fontId="8" fillId="0" borderId="0" xfId="0" applyFont="true" applyBorder="true" applyAlignment="true" applyProtection="true">
      <alignment horizontal="left" vertical="center" textRotation="0" wrapText="false" indent="0" shrinkToFit="false"/>
      <protection locked="false" hidden="true"/>
    </xf>
    <xf numFmtId="164" fontId="6" fillId="0" borderId="0" xfId="0" applyFont="true" applyBorder="false" applyAlignment="true" applyProtection="true">
      <alignment horizontal="center" vertical="center" textRotation="0" wrapText="false" indent="0" shrinkToFit="false"/>
      <protection locked="true" hidden="true"/>
    </xf>
    <xf numFmtId="164" fontId="7" fillId="3" borderId="2" xfId="0" applyFont="true" applyBorder="true" applyAlignment="true" applyProtection="true">
      <alignment horizontal="left" vertical="center" textRotation="0" wrapText="false" indent="0" shrinkToFit="false"/>
      <protection locked="true" hidden="true"/>
    </xf>
    <xf numFmtId="167" fontId="12" fillId="3" borderId="2" xfId="0" applyFont="true" applyBorder="true" applyAlignment="true" applyProtection="true">
      <alignment horizontal="right" vertical="center" textRotation="0" wrapText="false" indent="0" shrinkToFit="false"/>
      <protection locked="true" hidden="true"/>
    </xf>
    <xf numFmtId="164" fontId="7" fillId="0" borderId="2" xfId="0" applyFont="true" applyBorder="true" applyAlignment="true" applyProtection="true">
      <alignment horizontal="left" vertical="center" textRotation="0" wrapText="false" indent="0" shrinkToFit="false"/>
      <protection locked="true" hidden="true"/>
    </xf>
    <xf numFmtId="164" fontId="7" fillId="4" borderId="1" xfId="0" applyFont="true" applyBorder="true" applyAlignment="true" applyProtection="true">
      <alignment horizontal="center" vertical="center" textRotation="0" wrapText="false" indent="0" shrinkToFit="false"/>
      <protection locked="false" hidden="true"/>
    </xf>
    <xf numFmtId="168" fontId="7" fillId="0" borderId="3" xfId="0" applyFont="true" applyBorder="true" applyAlignment="true" applyProtection="true">
      <alignment horizontal="center" vertical="center" textRotation="0" wrapText="false" indent="0" shrinkToFit="false"/>
      <protection locked="true" hidden="true"/>
    </xf>
    <xf numFmtId="164" fontId="7" fillId="0" borderId="4" xfId="0" applyFont="true" applyBorder="true" applyAlignment="true" applyProtection="true">
      <alignment horizontal="general" vertical="center" textRotation="0" wrapText="false" indent="0" shrinkToFit="false"/>
      <protection locked="true" hidden="true"/>
    </xf>
    <xf numFmtId="164" fontId="4" fillId="0" borderId="4" xfId="0" applyFont="true" applyBorder="true" applyAlignment="true" applyProtection="true">
      <alignment horizontal="center" vertical="center" textRotation="0" wrapText="false" indent="0" shrinkToFit="false"/>
      <protection locked="true" hidden="true"/>
    </xf>
    <xf numFmtId="169" fontId="11" fillId="2" borderId="1" xfId="0" applyFont="true" applyBorder="true" applyAlignment="true" applyProtection="true">
      <alignment horizontal="center" vertical="center" textRotation="0" wrapText="false" indent="0" shrinkToFit="false"/>
      <protection locked="true" hidden="true"/>
    </xf>
    <xf numFmtId="164" fontId="7" fillId="0" borderId="5" xfId="0" applyFont="true" applyBorder="true" applyAlignment="true" applyProtection="true">
      <alignment horizontal="center" vertical="center" textRotation="0" wrapText="false" indent="0" shrinkToFit="false"/>
      <protection locked="true" hidden="true"/>
    </xf>
    <xf numFmtId="166" fontId="7" fillId="4" borderId="5" xfId="0" applyFont="true" applyBorder="true" applyAlignment="true" applyProtection="true">
      <alignment horizontal="center" vertical="center" textRotation="0" wrapText="false" indent="0" shrinkToFit="false"/>
      <protection locked="false" hidden="true"/>
    </xf>
    <xf numFmtId="164" fontId="14" fillId="0" borderId="5" xfId="0" applyFont="true" applyBorder="true" applyAlignment="true" applyProtection="true">
      <alignment horizontal="center" vertical="center" textRotation="0" wrapText="false" indent="0" shrinkToFit="false"/>
      <protection locked="true" hidden="true"/>
    </xf>
    <xf numFmtId="170" fontId="4" fillId="0" borderId="3" xfId="0" applyFont="true" applyBorder="true" applyAlignment="true" applyProtection="true">
      <alignment horizontal="left" vertical="center" textRotation="0" wrapText="false" indent="1" shrinkToFit="false"/>
      <protection locked="true" hidden="true"/>
    </xf>
    <xf numFmtId="170" fontId="16" fillId="0" borderId="6" xfId="0" applyFont="true" applyBorder="true" applyAlignment="true" applyProtection="true">
      <alignment horizontal="center" vertical="center" textRotation="0" wrapText="false" indent="0" shrinkToFit="false"/>
      <protection locked="true" hidden="true"/>
    </xf>
    <xf numFmtId="167" fontId="17" fillId="0" borderId="1" xfId="0" applyFont="true" applyBorder="true" applyAlignment="true" applyProtection="true">
      <alignment horizontal="center" vertical="center" textRotation="0" wrapText="false" indent="0" shrinkToFit="false"/>
      <protection locked="true" hidden="true"/>
    </xf>
    <xf numFmtId="171" fontId="7" fillId="4" borderId="1" xfId="0" applyFont="true" applyBorder="true" applyAlignment="true" applyProtection="true">
      <alignment horizontal="center" vertical="center" textRotation="0" wrapText="false" indent="0" shrinkToFit="false"/>
      <protection locked="false" hidden="true"/>
    </xf>
    <xf numFmtId="171" fontId="7" fillId="0" borderId="1" xfId="0" applyFont="true" applyBorder="true" applyAlignment="true" applyProtection="true">
      <alignment horizontal="center" vertical="center" textRotation="0" wrapText="false" indent="0" shrinkToFit="false"/>
      <protection locked="true" hidden="true"/>
    </xf>
    <xf numFmtId="166" fontId="7" fillId="4" borderId="1" xfId="0" applyFont="true" applyBorder="true" applyAlignment="true" applyProtection="true">
      <alignment horizontal="center" vertical="center" textRotation="0" wrapText="false" indent="0" shrinkToFit="false"/>
      <protection locked="false" hidden="true"/>
    </xf>
    <xf numFmtId="164" fontId="4" fillId="0" borderId="3" xfId="0" applyFont="true" applyBorder="true" applyAlignment="true" applyProtection="true">
      <alignment horizontal="left" vertical="center" textRotation="0" wrapText="false" indent="1" shrinkToFit="false"/>
      <protection locked="true" hidden="true"/>
    </xf>
    <xf numFmtId="170" fontId="16" fillId="0" borderId="4" xfId="0" applyFont="true" applyBorder="true" applyAlignment="true" applyProtection="true">
      <alignment horizontal="center" vertical="center" textRotation="0" wrapText="false" indent="0" shrinkToFit="false"/>
      <protection locked="true" hidden="true"/>
    </xf>
    <xf numFmtId="170" fontId="16" fillId="0" borderId="7" xfId="0" applyFont="true" applyBorder="true" applyAlignment="true" applyProtection="true">
      <alignment horizontal="center" vertical="center" textRotation="0" wrapText="false" indent="0" shrinkToFit="false"/>
      <protection locked="true" hidden="true"/>
    </xf>
    <xf numFmtId="171" fontId="7" fillId="0" borderId="1" xfId="0" applyFont="true" applyBorder="true" applyAlignment="true" applyProtection="true">
      <alignment horizontal="center" vertical="center" textRotation="0" wrapText="false" indent="0" shrinkToFit="false"/>
      <protection locked="false" hidden="true"/>
    </xf>
    <xf numFmtId="171" fontId="4" fillId="0" borderId="1" xfId="0" applyFont="true" applyBorder="true" applyAlignment="true" applyProtection="true">
      <alignment horizontal="center" vertical="center" textRotation="0" wrapText="false" indent="0" shrinkToFit="false"/>
      <protection locked="true" hidden="true"/>
    </xf>
    <xf numFmtId="164" fontId="7" fillId="0" borderId="1" xfId="0" applyFont="true" applyBorder="true" applyAlignment="true" applyProtection="true">
      <alignment horizontal="center" vertical="center" textRotation="0" wrapText="true" indent="0" shrinkToFit="false"/>
      <protection locked="true" hidden="true"/>
    </xf>
    <xf numFmtId="171" fontId="11" fillId="2" borderId="1" xfId="0" applyFont="true" applyBorder="true" applyAlignment="true" applyProtection="true">
      <alignment horizontal="center" vertical="center" textRotation="0" wrapText="false" indent="0" shrinkToFit="false"/>
      <protection locked="true" hidden="true"/>
    </xf>
    <xf numFmtId="172" fontId="7" fillId="4" borderId="1" xfId="0" applyFont="true" applyBorder="true" applyAlignment="true" applyProtection="true">
      <alignment horizontal="center" vertical="center" textRotation="0" wrapText="false" indent="0" shrinkToFit="false"/>
      <protection locked="false" hidden="true"/>
    </xf>
    <xf numFmtId="164" fontId="18" fillId="0" borderId="0" xfId="0" applyFont="true" applyBorder="true" applyAlignment="true" applyProtection="true">
      <alignment horizontal="general" vertical="center" textRotation="0" wrapText="true" indent="0" shrinkToFit="false"/>
      <protection locked="true" hidden="true"/>
    </xf>
    <xf numFmtId="164" fontId="19" fillId="0" borderId="0" xfId="0" applyFont="true" applyBorder="false" applyAlignment="true" applyProtection="true">
      <alignment horizontal="center" vertical="center" textRotation="0" wrapText="false" indent="0" shrinkToFit="false"/>
      <protection locked="true" hidden="true"/>
    </xf>
    <xf numFmtId="164" fontId="4" fillId="0" borderId="8" xfId="0" applyFont="true" applyBorder="true" applyAlignment="true" applyProtection="true">
      <alignment horizontal="center" vertical="center" textRotation="0" wrapText="false" indent="0" shrinkToFit="false"/>
      <protection locked="true" hidden="true"/>
    </xf>
    <xf numFmtId="164" fontId="4" fillId="0" borderId="9" xfId="0" applyFont="true" applyBorder="true" applyAlignment="true" applyProtection="true">
      <alignment horizontal="center" vertical="center" textRotation="0" wrapText="false" indent="0" shrinkToFit="false"/>
      <protection locked="true" hidden="true"/>
    </xf>
    <xf numFmtId="164" fontId="4" fillId="0" borderId="10" xfId="0" applyFont="true" applyBorder="true" applyAlignment="true" applyProtection="true">
      <alignment horizontal="center" vertical="center" textRotation="0" wrapText="false" indent="0" shrinkToFit="false"/>
      <protection locked="true" hidden="true"/>
    </xf>
    <xf numFmtId="164" fontId="4" fillId="0" borderId="11" xfId="0" applyFont="true" applyBorder="true" applyAlignment="true" applyProtection="true">
      <alignment horizontal="center" vertical="center" textRotation="0" wrapText="false" indent="0" shrinkToFit="false"/>
      <protection locked="true" hidden="true"/>
    </xf>
    <xf numFmtId="164" fontId="4" fillId="0" borderId="12" xfId="0" applyFont="true" applyBorder="true" applyAlignment="true" applyProtection="true">
      <alignment horizontal="center" vertical="center" textRotation="0" wrapText="false" indent="0" shrinkToFit="false"/>
      <protection locked="true" hidden="true"/>
    </xf>
    <xf numFmtId="164" fontId="7" fillId="0" borderId="0" xfId="0" applyFont="true" applyBorder="true" applyAlignment="true" applyProtection="true">
      <alignment horizontal="center" vertical="center" textRotation="0" wrapText="false" indent="0" shrinkToFit="false"/>
      <protection locked="true" hidden="true"/>
    </xf>
    <xf numFmtId="173" fontId="7" fillId="4" borderId="1" xfId="0" applyFont="true" applyBorder="true" applyAlignment="true" applyProtection="true">
      <alignment horizontal="center" vertical="center" textRotation="0" wrapText="false" indent="0" shrinkToFit="false"/>
      <protection locked="false" hidden="true"/>
    </xf>
    <xf numFmtId="171" fontId="4" fillId="0" borderId="0" xfId="0" applyFont="true" applyBorder="true" applyAlignment="true" applyProtection="true">
      <alignment horizontal="center" vertical="center" textRotation="0" wrapText="false" indent="0" shrinkToFit="false"/>
      <protection locked="true" hidden="true"/>
    </xf>
    <xf numFmtId="172" fontId="4" fillId="0" borderId="1" xfId="0" applyFont="true" applyBorder="true" applyAlignment="true" applyProtection="true">
      <alignment horizontal="center" vertical="center" textRotation="0" wrapText="false" indent="0" shrinkToFit="false"/>
      <protection locked="true" hidden="true"/>
    </xf>
    <xf numFmtId="164" fontId="14" fillId="0" borderId="1" xfId="0" applyFont="true" applyBorder="true" applyAlignment="true" applyProtection="true">
      <alignment horizontal="center" vertical="center" textRotation="0" wrapText="false" indent="0" shrinkToFit="false"/>
      <protection locked="true" hidden="true"/>
    </xf>
    <xf numFmtId="166" fontId="4" fillId="0" borderId="1" xfId="0" applyFont="true" applyBorder="true" applyAlignment="true" applyProtection="true">
      <alignment horizontal="center" vertical="center" textRotation="0" wrapText="false" indent="0" shrinkToFit="false"/>
      <protection locked="true" hidden="true"/>
    </xf>
    <xf numFmtId="171" fontId="7" fillId="0" borderId="1" xfId="0" applyFont="true" applyBorder="true" applyAlignment="true" applyProtection="true">
      <alignment horizontal="center" vertical="center" textRotation="0" wrapText="false" indent="0" shrinkToFit="false"/>
      <protection locked="true" hidden="true"/>
    </xf>
    <xf numFmtId="171" fontId="7" fillId="0" borderId="1" xfId="0" applyFont="true" applyBorder="true" applyAlignment="true" applyProtection="true">
      <alignment horizontal="left" vertical="center" textRotation="0" wrapText="false" indent="1" shrinkToFit="false"/>
      <protection locked="true" hidden="true"/>
    </xf>
    <xf numFmtId="164" fontId="7" fillId="0" borderId="1" xfId="0" applyFont="true" applyBorder="true" applyAlignment="true" applyProtection="true">
      <alignment horizontal="left" vertical="center" textRotation="0" wrapText="false" indent="0" shrinkToFit="false"/>
      <protection locked="true" hidden="true"/>
    </xf>
    <xf numFmtId="164" fontId="5" fillId="0" borderId="0" xfId="0" applyFont="true" applyBorder="true" applyAlignment="true" applyProtection="true">
      <alignment horizontal="right" vertical="center" textRotation="0" wrapText="false" indent="0" shrinkToFit="false"/>
      <protection locked="true" hidden="true"/>
    </xf>
    <xf numFmtId="164" fontId="4" fillId="0" borderId="3" xfId="0" applyFont="true" applyBorder="true" applyAlignment="true" applyProtection="true">
      <alignment horizontal="left" vertical="center" textRotation="0" wrapText="false" indent="0" shrinkToFit="false"/>
      <protection locked="true" hidden="true"/>
    </xf>
    <xf numFmtId="164" fontId="4" fillId="0" borderId="4" xfId="0" applyFont="true" applyBorder="true" applyAlignment="true" applyProtection="true">
      <alignment horizontal="left" vertical="center" textRotation="0" wrapText="false" indent="0" shrinkToFit="false"/>
      <protection locked="true" hidden="true"/>
    </xf>
    <xf numFmtId="164" fontId="4" fillId="0" borderId="6" xfId="0" applyFont="true" applyBorder="true" applyAlignment="true" applyProtection="true">
      <alignment horizontal="left" vertical="center" textRotation="0" wrapText="false" indent="0" shrinkToFit="false"/>
      <protection locked="true" hidden="true"/>
    </xf>
    <xf numFmtId="164" fontId="4" fillId="0" borderId="13" xfId="0" applyFont="true" applyBorder="true" applyAlignment="true" applyProtection="true">
      <alignment horizontal="center" vertical="center" textRotation="0" wrapText="false" indent="0" shrinkToFit="false"/>
      <protection locked="true" hidden="true"/>
    </xf>
    <xf numFmtId="164" fontId="4" fillId="0" borderId="2" xfId="0" applyFont="true" applyBorder="true" applyAlignment="true" applyProtection="true">
      <alignment horizontal="center" vertical="center" textRotation="0" wrapText="false" indent="0" shrinkToFit="false"/>
      <protection locked="true" hidden="true"/>
    </xf>
    <xf numFmtId="164" fontId="4" fillId="0" borderId="7" xfId="0" applyFont="true" applyBorder="true" applyAlignment="true" applyProtection="true">
      <alignment horizontal="center" vertical="center" textRotation="0" wrapText="false" indent="0" shrinkToFit="false"/>
      <protection locked="true" hidden="true"/>
    </xf>
    <xf numFmtId="167" fontId="4" fillId="0" borderId="3" xfId="0" applyFont="true" applyBorder="true" applyAlignment="true" applyProtection="true">
      <alignment horizontal="left" vertical="center" textRotation="0" wrapText="false" indent="0" shrinkToFit="false"/>
      <protection locked="true" hidden="true"/>
    </xf>
    <xf numFmtId="164" fontId="4" fillId="0" borderId="4" xfId="0" applyFont="true" applyBorder="true" applyAlignment="true" applyProtection="true">
      <alignment horizontal="center" vertical="center" textRotation="0" wrapText="false" indent="0" shrinkToFit="false"/>
      <protection locked="true" hidden="true"/>
    </xf>
    <xf numFmtId="164" fontId="4" fillId="0" borderId="6" xfId="0" applyFont="true" applyBorder="true" applyAlignment="true" applyProtection="true">
      <alignment horizontal="center" vertical="center" textRotation="0" wrapText="false" indent="0" shrinkToFit="false"/>
      <protection locked="true" hidden="true"/>
    </xf>
    <xf numFmtId="167" fontId="4" fillId="0" borderId="6" xfId="0" applyFont="true" applyBorder="true" applyAlignment="true" applyProtection="true">
      <alignment horizontal="center" vertical="center" textRotation="0" wrapText="false" indent="0" shrinkToFit="false"/>
      <protection locked="true" hidden="true"/>
    </xf>
    <xf numFmtId="164" fontId="4" fillId="0" borderId="1" xfId="0" applyFont="true" applyBorder="true" applyAlignment="true" applyProtection="true">
      <alignment horizontal="left" vertical="center" textRotation="0" wrapText="false" indent="0" shrinkToFit="false"/>
      <protection locked="true" hidden="true"/>
    </xf>
    <xf numFmtId="167" fontId="7" fillId="0" borderId="1" xfId="0" applyFont="true" applyBorder="true" applyAlignment="true" applyProtection="true">
      <alignment horizontal="left" vertical="center" textRotation="0" wrapText="false" indent="1" shrinkToFit="false"/>
      <protection locked="true" hidden="true"/>
    </xf>
    <xf numFmtId="174" fontId="7" fillId="0" borderId="1" xfId="0" applyFont="true" applyBorder="true" applyAlignment="true" applyProtection="true">
      <alignment horizontal="left" vertical="center" textRotation="0" wrapText="false" indent="1" shrinkToFit="false"/>
      <protection locked="true" hidden="true"/>
    </xf>
    <xf numFmtId="167" fontId="11" fillId="2" borderId="1" xfId="0" applyFont="true" applyBorder="true" applyAlignment="true" applyProtection="true">
      <alignment horizontal="left" vertical="center" textRotation="0" wrapText="false" indent="1" shrinkToFit="false"/>
      <protection locked="true" hidden="true"/>
    </xf>
    <xf numFmtId="175" fontId="7" fillId="0" borderId="1" xfId="0" applyFont="true" applyBorder="true" applyAlignment="true" applyProtection="true">
      <alignment horizontal="left" vertical="center" textRotation="0" wrapText="false" indent="1" shrinkToFit="false"/>
      <protection locked="true" hidden="true"/>
    </xf>
    <xf numFmtId="176" fontId="4" fillId="0" borderId="1" xfId="0" applyFont="true" applyBorder="true" applyAlignment="true" applyProtection="true">
      <alignment horizontal="center" vertical="center" textRotation="0" wrapText="false" indent="0" shrinkToFit="false"/>
      <protection locked="true" hidden="true"/>
    </xf>
    <xf numFmtId="177" fontId="7" fillId="0" borderId="1" xfId="0" applyFont="true" applyBorder="true" applyAlignment="true" applyProtection="true">
      <alignment horizontal="left" vertical="center" textRotation="0" wrapText="false" indent="1" shrinkToFit="false"/>
      <protection locked="true" hidden="true"/>
    </xf>
    <xf numFmtId="164" fontId="4" fillId="0" borderId="0" xfId="0" applyFont="true" applyBorder="false" applyAlignment="true" applyProtection="true">
      <alignment horizontal="left" vertical="center" textRotation="0" wrapText="false" indent="0" shrinkToFit="false"/>
      <protection locked="true" hidden="tru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9">
    <dxf>
      <font>
        <b val="1"/>
        <i val="0"/>
        <color rgb="FF000000"/>
      </font>
    </dxf>
    <dxf>
      <font>
        <color rgb="FF000000"/>
      </font>
    </dxf>
    <dxf>
      <font>
        <b val="1"/>
        <i val="0"/>
        <color rgb="FF000000"/>
      </font>
    </dxf>
    <dxf>
      <font>
        <color rgb="FF000000"/>
      </font>
    </dxf>
    <dxf>
      <font>
        <b val="1"/>
        <i val="0"/>
        <color rgb="FFFFFFFF"/>
      </font>
      <fill>
        <patternFill>
          <bgColor rgb="FFFF0000"/>
        </patternFill>
      </fill>
    </dxf>
    <dxf>
      <font>
        <b val="1"/>
        <i val="0"/>
        <color rgb="FFFFFFFF"/>
      </font>
      <fill>
        <patternFill>
          <bgColor rgb="FFFF0000"/>
        </patternFill>
      </fill>
    </dxf>
    <dxf>
      <font>
        <b val="1"/>
        <i val="0"/>
        <color rgb="FFFFFFFF"/>
      </font>
      <fill>
        <patternFill>
          <bgColor rgb="FFFF0000"/>
        </patternFill>
      </fill>
    </dxf>
    <dxf>
      <font>
        <b val="1"/>
        <i val="0"/>
        <color rgb="FFFFFFFF"/>
      </font>
      <fill>
        <patternFill>
          <bgColor rgb="FFFF0000"/>
        </patternFill>
      </fill>
    </dxf>
    <dxf>
      <font>
        <b val="1"/>
        <i val="0"/>
        <color rgb="FFFFFFFF"/>
      </font>
      <fill>
        <patternFill>
          <bgColor rgb="FFFF0000"/>
        </patternFill>
      </fill>
    </dxf>
    <dxf>
      <font>
        <b val="1"/>
        <i val="0"/>
        <color rgb="FFFFFFFF"/>
      </font>
      <fill>
        <patternFill>
          <bgColor rgb="FFFF0000"/>
        </patternFill>
      </fill>
    </dxf>
    <dxf>
      <font>
        <b val="1"/>
        <i val="0"/>
        <color rgb="FFFFFFFF"/>
      </font>
      <fill>
        <patternFill>
          <bgColor rgb="FFFF0000"/>
        </patternFill>
      </fill>
    </dxf>
    <dxf>
      <font>
        <b val="1"/>
        <i val="0"/>
        <color rgb="FFFFFFFF"/>
      </font>
      <fill>
        <patternFill>
          <bgColor rgb="FFFF0000"/>
        </patternFill>
      </fill>
    </dxf>
    <dxf>
      <font>
        <b val="1"/>
        <i val="0"/>
        <color rgb="FFFFFFFF"/>
      </font>
      <fill>
        <patternFill>
          <bgColor rgb="FFFF0000"/>
        </patternFill>
      </fill>
    </dxf>
    <dxf>
      <font>
        <b val="1"/>
        <i val="0"/>
        <color rgb="FFFFFFFF"/>
      </font>
      <fill>
        <patternFill>
          <bgColor rgb="FFFF0000"/>
        </patternFill>
      </fill>
    </dxf>
    <dxf>
      <font>
        <b val="1"/>
        <i val="0"/>
        <color rgb="FFFFFFFF"/>
      </font>
      <fill>
        <patternFill>
          <bgColor rgb="FFFF0000"/>
        </patternFill>
      </fill>
    </dxf>
    <dxf>
      <font>
        <b val="1"/>
        <i val="0"/>
        <color rgb="FFFFFFFF"/>
      </font>
      <fill>
        <patternFill>
          <bgColor rgb="FFFF0000"/>
        </patternFill>
      </fill>
    </dxf>
    <dxf>
      <font>
        <b val="1"/>
        <i val="0"/>
        <color rgb="FFFFFFFF"/>
      </font>
      <fill>
        <patternFill>
          <bgColor rgb="FFFF0000"/>
        </patternFill>
      </fill>
    </dxf>
    <dxf>
      <font>
        <b val="0"/>
        <i val="0"/>
        <color rgb="00FFFFFF"/>
      </font>
    </dxf>
    <dxf>
      <font>
        <b val="0"/>
        <i val="0"/>
        <color rgb="00FFFFFF"/>
      </font>
    </dxf>
  </dxfs>
  <colors>
    <indexedColors>
      <rgbColor rgb="FF000000"/>
      <rgbColor rgb="FFFFFFFF"/>
      <rgbColor rgb="FFFF0000"/>
      <rgbColor rgb="FF00FF00"/>
      <rgbColor rgb="FF0000FF"/>
      <rgbColor rgb="FFFFFF00"/>
      <rgbColor rgb="FFFF00FF"/>
      <rgbColor rgb="FF00FFFF"/>
      <rgbColor rgb="FF800000"/>
      <rgbColor rgb="FF006F3D"/>
      <rgbColor rgb="FF000080"/>
      <rgbColor rgb="FF808000"/>
      <rgbColor rgb="FF800080"/>
      <rgbColor rgb="FF008080"/>
      <rgbColor rgb="FFBFBFBF"/>
      <rgbColor rgb="FF878787"/>
      <rgbColor rgb="FF9999FF"/>
      <rgbColor rgb="FF7030A0"/>
      <rgbColor rgb="FFFFFFC8"/>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ineChart>
        <c:grouping val="standard"/>
        <c:varyColors val="0"/>
        <c:ser>
          <c:idx val="0"/>
          <c:order val="0"/>
          <c:tx>
            <c:strRef>
              <c:f>'TLU-01'!$N$12</c:f>
              <c:strCache>
                <c:ptCount val="1"/>
                <c:pt idx="0">
                  <c:v>LWZ-Lin</c:v>
                </c:pt>
              </c:strCache>
            </c:strRef>
          </c:tx>
          <c:spPr>
            <a:solidFill>
              <a:srgbClr val="ff0000"/>
            </a:solidFill>
            <a:ln w="28440">
              <a:solidFill>
                <a:srgbClr val="ff0000"/>
              </a:solidFill>
              <a:round/>
            </a:ln>
          </c:spPr>
          <c:marker>
            <c:symbol val="circle"/>
            <c:size val="7"/>
            <c:spPr>
              <a:solidFill>
                <a:srgbClr val="ff0000"/>
              </a:solidFill>
            </c:spPr>
          </c:marker>
          <c:dLbls>
            <c:txPr>
              <a:bodyPr/>
              <a:lstStyle/>
              <a:p>
                <a:pPr>
                  <a:defRPr b="0" sz="1000" spc="-1" strike="noStrike">
                    <a:solidFill>
                      <a:srgbClr val="000000"/>
                    </a:solidFill>
                    <a:latin typeface="Corbel"/>
                  </a:defRPr>
                </a:pPr>
              </a:p>
            </c:txPr>
            <c:dLblPos val="r"/>
            <c:showLegendKey val="0"/>
            <c:showVal val="0"/>
            <c:showCatName val="0"/>
            <c:showSerName val="0"/>
            <c:showPercent val="0"/>
            <c:separator>; </c:separator>
            <c:showLeaderLines val="0"/>
          </c:dLbls>
          <c:cat>
            <c:strRef>
              <c:f>'TLU-01'!$P$11:$X$11</c:f>
              <c:strCache>
                <c:ptCount val="9"/>
                <c:pt idx="0">
                  <c:v>31,5</c:v>
                </c:pt>
                <c:pt idx="1">
                  <c:v>63</c:v>
                </c:pt>
                <c:pt idx="2">
                  <c:v>125</c:v>
                </c:pt>
                <c:pt idx="3">
                  <c:v>250</c:v>
                </c:pt>
                <c:pt idx="4">
                  <c:v>500</c:v>
                </c:pt>
                <c:pt idx="5">
                  <c:v>1000</c:v>
                </c:pt>
                <c:pt idx="6">
                  <c:v>2000</c:v>
                </c:pt>
                <c:pt idx="7">
                  <c:v>4000</c:v>
                </c:pt>
                <c:pt idx="8">
                  <c:v>8000</c:v>
                </c:pt>
              </c:strCache>
            </c:strRef>
          </c:cat>
          <c:val>
            <c:numRef>
              <c:f>'TLU-01'!$P$12:$X$12</c:f>
              <c:numCache>
                <c:formatCode>General</c:formatCode>
                <c:ptCount val="9"/>
                <c:pt idx="0">
                  <c:v>75</c:v>
                </c:pt>
                <c:pt idx="1">
                  <c:v>90</c:v>
                </c:pt>
                <c:pt idx="2">
                  <c:v>100</c:v>
                </c:pt>
                <c:pt idx="3">
                  <c:v>103</c:v>
                </c:pt>
                <c:pt idx="4">
                  <c:v>99</c:v>
                </c:pt>
                <c:pt idx="5">
                  <c:v>94</c:v>
                </c:pt>
                <c:pt idx="6">
                  <c:v>84</c:v>
                </c:pt>
                <c:pt idx="7">
                  <c:v>78</c:v>
                </c:pt>
                <c:pt idx="8">
                  <c:v>74</c:v>
                </c:pt>
              </c:numCache>
            </c:numRef>
          </c:val>
          <c:smooth val="0"/>
        </c:ser>
        <c:ser>
          <c:idx val="1"/>
          <c:order val="1"/>
          <c:tx>
            <c:strRef>
              <c:f>'TLU-01'!$N$14</c:f>
              <c:strCache>
                <c:ptCount val="1"/>
                <c:pt idx="0">
                  <c:v>LWT-Lin</c:v>
                </c:pt>
              </c:strCache>
            </c:strRef>
          </c:tx>
          <c:spPr>
            <a:solidFill>
              <a:srgbClr val="ffc000"/>
            </a:solidFill>
            <a:ln w="28440">
              <a:solidFill>
                <a:srgbClr val="ffc000"/>
              </a:solidFill>
              <a:round/>
            </a:ln>
          </c:spPr>
          <c:marker>
            <c:symbol val="circle"/>
            <c:size val="7"/>
            <c:spPr>
              <a:solidFill>
                <a:srgbClr val="ffc000"/>
              </a:solidFill>
            </c:spPr>
          </c:marker>
          <c:dLbls>
            <c:txPr>
              <a:bodyPr/>
              <a:lstStyle/>
              <a:p>
                <a:pPr>
                  <a:defRPr b="0" sz="1000" spc="-1" strike="noStrike">
                    <a:solidFill>
                      <a:srgbClr val="000000"/>
                    </a:solidFill>
                    <a:latin typeface="Corbel"/>
                  </a:defRPr>
                </a:pPr>
              </a:p>
            </c:txPr>
            <c:dLblPos val="r"/>
            <c:showLegendKey val="0"/>
            <c:showVal val="0"/>
            <c:showCatName val="0"/>
            <c:showSerName val="0"/>
            <c:showPercent val="0"/>
            <c:separator>; </c:separator>
            <c:showLeaderLines val="0"/>
          </c:dLbls>
          <c:cat>
            <c:strRef>
              <c:f>'TLU-01'!$P$11:$X$11</c:f>
              <c:strCache>
                <c:ptCount val="9"/>
                <c:pt idx="0">
                  <c:v>31,5</c:v>
                </c:pt>
                <c:pt idx="1">
                  <c:v>63</c:v>
                </c:pt>
                <c:pt idx="2">
                  <c:v>125</c:v>
                </c:pt>
                <c:pt idx="3">
                  <c:v>250</c:v>
                </c:pt>
                <c:pt idx="4">
                  <c:v>500</c:v>
                </c:pt>
                <c:pt idx="5">
                  <c:v>1000</c:v>
                </c:pt>
                <c:pt idx="6">
                  <c:v>2000</c:v>
                </c:pt>
                <c:pt idx="7">
                  <c:v>4000</c:v>
                </c:pt>
                <c:pt idx="8">
                  <c:v>8000</c:v>
                </c:pt>
              </c:strCache>
            </c:strRef>
          </c:cat>
          <c:val>
            <c:numRef>
              <c:f>'TLU-01'!$P$14:$X$14</c:f>
              <c:numCache>
                <c:formatCode>General</c:formatCode>
                <c:ptCount val="9"/>
                <c:pt idx="0">
                  <c:v>57.4518573118461</c:v>
                </c:pt>
                <c:pt idx="1">
                  <c:v>52.3153362812426</c:v>
                </c:pt>
                <c:pt idx="2">
                  <c:v>48.6355103977703</c:v>
                </c:pt>
                <c:pt idx="3">
                  <c:v>46.3610451256664</c:v>
                </c:pt>
                <c:pt idx="4">
                  <c:v>43.988527554493</c:v>
                </c:pt>
                <c:pt idx="5">
                  <c:v>40.080999182803</c:v>
                </c:pt>
                <c:pt idx="6">
                  <c:v>34.8353090479629</c:v>
                </c:pt>
                <c:pt idx="7">
                  <c:v>29.0345537406036</c:v>
                </c:pt>
                <c:pt idx="8">
                  <c:v>23.0708529976497</c:v>
                </c:pt>
              </c:numCache>
            </c:numRef>
          </c:val>
          <c:smooth val="0"/>
        </c:ser>
        <c:ser>
          <c:idx val="2"/>
          <c:order val="2"/>
          <c:tx>
            <c:strRef>
              <c:f>'TLU-01'!$N$16</c:f>
              <c:strCache>
                <c:ptCount val="1"/>
                <c:pt idx="0">
                  <c:v>LWC-Lin</c:v>
                </c:pt>
              </c:strCache>
            </c:strRef>
          </c:tx>
          <c:spPr>
            <a:solidFill>
              <a:srgbClr val="7030a0"/>
            </a:solidFill>
            <a:ln w="28440">
              <a:solidFill>
                <a:srgbClr val="7030a0"/>
              </a:solidFill>
              <a:round/>
            </a:ln>
          </c:spPr>
          <c:marker>
            <c:symbol val="circle"/>
            <c:size val="7"/>
            <c:spPr>
              <a:solidFill>
                <a:srgbClr val="7030a0"/>
              </a:solidFill>
            </c:spPr>
          </c:marker>
          <c:dLbls>
            <c:txPr>
              <a:bodyPr/>
              <a:lstStyle/>
              <a:p>
                <a:pPr>
                  <a:defRPr b="0" sz="1000" spc="-1" strike="noStrike">
                    <a:solidFill>
                      <a:srgbClr val="000000"/>
                    </a:solidFill>
                    <a:latin typeface="Corbel"/>
                  </a:defRPr>
                </a:pPr>
              </a:p>
            </c:txPr>
            <c:dLblPos val="r"/>
            <c:showLegendKey val="0"/>
            <c:showVal val="0"/>
            <c:showCatName val="0"/>
            <c:showSerName val="0"/>
            <c:showPercent val="0"/>
            <c:separator>; </c:separator>
            <c:showLeaderLines val="0"/>
          </c:dLbls>
          <c:cat>
            <c:strRef>
              <c:f>'TLU-01'!$P$11:$X$11</c:f>
              <c:strCache>
                <c:ptCount val="9"/>
                <c:pt idx="0">
                  <c:v>31,5</c:v>
                </c:pt>
                <c:pt idx="1">
                  <c:v>63</c:v>
                </c:pt>
                <c:pt idx="2">
                  <c:v>125</c:v>
                </c:pt>
                <c:pt idx="3">
                  <c:v>250</c:v>
                </c:pt>
                <c:pt idx="4">
                  <c:v>500</c:v>
                </c:pt>
                <c:pt idx="5">
                  <c:v>1000</c:v>
                </c:pt>
                <c:pt idx="6">
                  <c:v>2000</c:v>
                </c:pt>
                <c:pt idx="7">
                  <c:v>4000</c:v>
                </c:pt>
                <c:pt idx="8">
                  <c:v>8000</c:v>
                </c:pt>
              </c:strCache>
            </c:strRef>
          </c:cat>
          <c:val>
            <c:numRef>
              <c:f>'TLU-01'!$P$16:$X$16</c:f>
              <c:numCache>
                <c:formatCode>General</c:formatCode>
                <c:ptCount val="9"/>
                <c:pt idx="0">
                  <c:v>67.4570034848427</c:v>
                </c:pt>
                <c:pt idx="1">
                  <c:v>81.0058752201585</c:v>
                </c:pt>
                <c:pt idx="2">
                  <c:v>85.0010029636698</c:v>
                </c:pt>
                <c:pt idx="3">
                  <c:v>75.0059373400501</c:v>
                </c:pt>
                <c:pt idx="4">
                  <c:v>56.2650437008104</c:v>
                </c:pt>
                <c:pt idx="5">
                  <c:v>46.9896109844738</c:v>
                </c:pt>
                <c:pt idx="6">
                  <c:v>39.710056337101</c:v>
                </c:pt>
                <c:pt idx="7">
                  <c:v>38.5188467530437</c:v>
                </c:pt>
                <c:pt idx="8">
                  <c:v>44.0349238607457</c:v>
                </c:pt>
              </c:numCache>
            </c:numRef>
          </c:val>
          <c:smooth val="0"/>
        </c:ser>
        <c:ser>
          <c:idx val="3"/>
          <c:order val="3"/>
          <c:tx>
            <c:strRef>
              <c:f>'TLU-01'!$N$13</c:f>
              <c:strCache>
                <c:ptCount val="1"/>
                <c:pt idx="0">
                  <c:v>DT</c:v>
                </c:pt>
              </c:strCache>
            </c:strRef>
          </c:tx>
          <c:spPr>
            <a:solidFill>
              <a:srgbClr val="000000"/>
            </a:solidFill>
            <a:ln w="28440">
              <a:solidFill>
                <a:srgbClr val="000000"/>
              </a:solidFill>
              <a:round/>
            </a:ln>
          </c:spPr>
          <c:marker>
            <c:symbol val="circle"/>
            <c:size val="7"/>
            <c:spPr>
              <a:solidFill>
                <a:srgbClr val="000000"/>
              </a:solidFill>
            </c:spPr>
          </c:marker>
          <c:dLbls>
            <c:txPr>
              <a:bodyPr/>
              <a:lstStyle/>
              <a:p>
                <a:pPr>
                  <a:defRPr b="0" sz="1000" spc="-1" strike="noStrike">
                    <a:solidFill>
                      <a:srgbClr val="000000"/>
                    </a:solidFill>
                    <a:latin typeface="Corbel"/>
                  </a:defRPr>
                </a:pPr>
              </a:p>
            </c:txPr>
            <c:dLblPos val="r"/>
            <c:showLegendKey val="0"/>
            <c:showVal val="0"/>
            <c:showCatName val="0"/>
            <c:showSerName val="0"/>
            <c:showPercent val="0"/>
            <c:separator>; </c:separator>
            <c:showLeaderLines val="0"/>
          </c:dLbls>
          <c:cat>
            <c:strRef>
              <c:f>'TLU-01'!$P$11:$X$11</c:f>
              <c:strCache>
                <c:ptCount val="9"/>
                <c:pt idx="0">
                  <c:v>31,5</c:v>
                </c:pt>
                <c:pt idx="1">
                  <c:v>63</c:v>
                </c:pt>
                <c:pt idx="2">
                  <c:v>125</c:v>
                </c:pt>
                <c:pt idx="3">
                  <c:v>250</c:v>
                </c:pt>
                <c:pt idx="4">
                  <c:v>500</c:v>
                </c:pt>
                <c:pt idx="5">
                  <c:v>1000</c:v>
                </c:pt>
                <c:pt idx="6">
                  <c:v>2000</c:v>
                </c:pt>
                <c:pt idx="7">
                  <c:v>4000</c:v>
                </c:pt>
                <c:pt idx="8">
                  <c:v>8000</c:v>
                </c:pt>
              </c:strCache>
            </c:strRef>
          </c:cat>
          <c:val>
            <c:numRef>
              <c:f>'TLU-01'!$P$13:$X$13</c:f>
              <c:numCache>
                <c:formatCode>General</c:formatCode>
                <c:ptCount val="9"/>
                <c:pt idx="0">
                  <c:v>8</c:v>
                </c:pt>
                <c:pt idx="1">
                  <c:v>9</c:v>
                </c:pt>
                <c:pt idx="2">
                  <c:v>15</c:v>
                </c:pt>
                <c:pt idx="3">
                  <c:v>28</c:v>
                </c:pt>
                <c:pt idx="4">
                  <c:v>43</c:v>
                </c:pt>
                <c:pt idx="5">
                  <c:v>48</c:v>
                </c:pt>
                <c:pt idx="6">
                  <c:v>46</c:v>
                </c:pt>
                <c:pt idx="7">
                  <c:v>40</c:v>
                </c:pt>
                <c:pt idx="8">
                  <c:v>30</c:v>
                </c:pt>
              </c:numCache>
            </c:numRef>
          </c:val>
          <c:smooth val="0"/>
        </c:ser>
        <c:ser>
          <c:idx val="4"/>
          <c:order val="4"/>
          <c:tx>
            <c:strRef>
              <c:f>'TLU-01'!$N$15</c:f>
              <c:strCache>
                <c:ptCount val="1"/>
                <c:pt idx="0">
                  <c:v>DP</c:v>
                </c:pt>
              </c:strCache>
            </c:strRef>
          </c:tx>
          <c:spPr>
            <a:solidFill>
              <a:srgbClr val="00b0f0"/>
            </a:solidFill>
            <a:ln w="28440">
              <a:solidFill>
                <a:srgbClr val="00b0f0"/>
              </a:solidFill>
              <a:round/>
            </a:ln>
          </c:spPr>
          <c:marker>
            <c:symbol val="circle"/>
            <c:size val="7"/>
            <c:spPr>
              <a:solidFill>
                <a:srgbClr val="00b0f0"/>
              </a:solidFill>
            </c:spPr>
          </c:marker>
          <c:dLbls>
            <c:txPr>
              <a:bodyPr/>
              <a:lstStyle/>
              <a:p>
                <a:pPr>
                  <a:defRPr b="0" sz="1000" spc="-1" strike="noStrike">
                    <a:solidFill>
                      <a:srgbClr val="000000"/>
                    </a:solidFill>
                    <a:latin typeface="Corbel"/>
                  </a:defRPr>
                </a:pPr>
              </a:p>
            </c:txPr>
            <c:dLblPos val="r"/>
            <c:showLegendKey val="0"/>
            <c:showVal val="0"/>
            <c:showCatName val="0"/>
            <c:showSerName val="0"/>
            <c:showPercent val="0"/>
            <c:separator>; </c:separator>
            <c:showLeaderLines val="0"/>
          </c:dLbls>
          <c:cat>
            <c:strRef>
              <c:f>'TLU-01'!$P$11:$X$11</c:f>
              <c:strCache>
                <c:ptCount val="9"/>
                <c:pt idx="0">
                  <c:v>31,5</c:v>
                </c:pt>
                <c:pt idx="1">
                  <c:v>63</c:v>
                </c:pt>
                <c:pt idx="2">
                  <c:v>125</c:v>
                </c:pt>
                <c:pt idx="3">
                  <c:v>250</c:v>
                </c:pt>
                <c:pt idx="4">
                  <c:v>500</c:v>
                </c:pt>
                <c:pt idx="5">
                  <c:v>1000</c:v>
                </c:pt>
                <c:pt idx="6">
                  <c:v>2000</c:v>
                </c:pt>
                <c:pt idx="7">
                  <c:v>4000</c:v>
                </c:pt>
                <c:pt idx="8">
                  <c:v>8000</c:v>
                </c:pt>
              </c:strCache>
            </c:strRef>
          </c:cat>
          <c:val>
            <c:numRef>
              <c:f>'TLU-01'!$P$15:$X$15</c:f>
              <c:numCache>
                <c:formatCode>General</c:formatCode>
                <c:ptCount val="9"/>
                <c:pt idx="0">
                  <c:v>0</c:v>
                </c:pt>
                <c:pt idx="1">
                  <c:v>0</c:v>
                </c:pt>
                <c:pt idx="2">
                  <c:v>0</c:v>
                </c:pt>
                <c:pt idx="3">
                  <c:v>0</c:v>
                </c:pt>
                <c:pt idx="4">
                  <c:v>0</c:v>
                </c:pt>
                <c:pt idx="5">
                  <c:v>0</c:v>
                </c:pt>
                <c:pt idx="6">
                  <c:v>0</c:v>
                </c:pt>
                <c:pt idx="7">
                  <c:v>0</c:v>
                </c:pt>
                <c:pt idx="8">
                  <c:v>0</c:v>
                </c:pt>
              </c:numCache>
            </c:numRef>
          </c:val>
          <c:smooth val="0"/>
        </c:ser>
        <c:ser>
          <c:idx val="5"/>
          <c:order val="5"/>
          <c:tx>
            <c:strRef>
              <c:f>'TLU-01'!$N$17</c:f>
              <c:strCache>
                <c:ptCount val="1"/>
                <c:pt idx="0">
                  <c:v>DC</c:v>
                </c:pt>
              </c:strCache>
            </c:strRef>
          </c:tx>
          <c:spPr>
            <a:solidFill>
              <a:srgbClr val="006f3d"/>
            </a:solidFill>
            <a:ln w="28440">
              <a:solidFill>
                <a:srgbClr val="006f3d"/>
              </a:solidFill>
              <a:round/>
            </a:ln>
          </c:spPr>
          <c:marker>
            <c:symbol val="circle"/>
            <c:size val="7"/>
            <c:spPr>
              <a:solidFill>
                <a:srgbClr val="006f3d"/>
              </a:solidFill>
            </c:spPr>
          </c:marker>
          <c:dLbls>
            <c:txPr>
              <a:bodyPr/>
              <a:lstStyle/>
              <a:p>
                <a:pPr>
                  <a:defRPr b="0" sz="1000" spc="-1" strike="noStrike">
                    <a:solidFill>
                      <a:srgbClr val="000000"/>
                    </a:solidFill>
                    <a:latin typeface="Corbel"/>
                  </a:defRPr>
                </a:pPr>
              </a:p>
            </c:txPr>
            <c:dLblPos val="r"/>
            <c:showLegendKey val="0"/>
            <c:showVal val="0"/>
            <c:showCatName val="0"/>
            <c:showSerName val="0"/>
            <c:showPercent val="0"/>
            <c:separator>; </c:separator>
            <c:showLeaderLines val="0"/>
          </c:dLbls>
          <c:cat>
            <c:strRef>
              <c:f>'TLU-01'!$P$11:$X$11</c:f>
              <c:strCache>
                <c:ptCount val="9"/>
                <c:pt idx="0">
                  <c:v>31,5</c:v>
                </c:pt>
                <c:pt idx="1">
                  <c:v>63</c:v>
                </c:pt>
                <c:pt idx="2">
                  <c:v>125</c:v>
                </c:pt>
                <c:pt idx="3">
                  <c:v>250</c:v>
                </c:pt>
                <c:pt idx="4">
                  <c:v>500</c:v>
                </c:pt>
                <c:pt idx="5">
                  <c:v>1000</c:v>
                </c:pt>
                <c:pt idx="6">
                  <c:v>2000</c:v>
                </c:pt>
                <c:pt idx="7">
                  <c:v>4000</c:v>
                </c:pt>
                <c:pt idx="8">
                  <c:v>8000</c:v>
                </c:pt>
              </c:strCache>
            </c:strRef>
          </c:cat>
          <c:val>
            <c:numRef>
              <c:f>'TLU-01'!$P$17:$X$17</c:f>
              <c:numCache>
                <c:formatCode>General</c:formatCode>
                <c:ptCount val="9"/>
                <c:pt idx="0">
                  <c:v>7.54299651515733</c:v>
                </c:pt>
                <c:pt idx="1">
                  <c:v>8.99412477984149</c:v>
                </c:pt>
                <c:pt idx="2">
                  <c:v>14.9989970363302</c:v>
                </c:pt>
                <c:pt idx="3">
                  <c:v>27.9940626599499</c:v>
                </c:pt>
                <c:pt idx="4">
                  <c:v>42.7349562991896</c:v>
                </c:pt>
                <c:pt idx="5">
                  <c:v>47.0103890155262</c:v>
                </c:pt>
                <c:pt idx="6">
                  <c:v>44.289943662899</c:v>
                </c:pt>
                <c:pt idx="7">
                  <c:v>39.4811532469563</c:v>
                </c:pt>
                <c:pt idx="8">
                  <c:v>29.9650761392543</c:v>
                </c:pt>
              </c:numCache>
            </c:numRef>
          </c:val>
          <c:smooth val="0"/>
        </c:ser>
        <c:hiLowLines>
          <c:spPr>
            <a:ln>
              <a:noFill/>
            </a:ln>
          </c:spPr>
        </c:hiLowLines>
        <c:marker val="1"/>
        <c:axId val="82430113"/>
        <c:axId val="78173819"/>
      </c:lineChart>
      <c:catAx>
        <c:axId val="82430113"/>
        <c:scaling>
          <c:orientation val="minMax"/>
        </c:scaling>
        <c:delete val="0"/>
        <c:axPos val="b"/>
        <c:majorGridlines>
          <c:spPr>
            <a:ln w="9360">
              <a:solidFill>
                <a:srgbClr val="d9d9d9"/>
              </a:solidFill>
              <a:prstDash val="dash"/>
              <a:round/>
            </a:ln>
          </c:spPr>
        </c:majorGridlines>
        <c:numFmt formatCode="General" sourceLinked="1"/>
        <c:majorTickMark val="out"/>
        <c:minorTickMark val="none"/>
        <c:tickLblPos val="nextTo"/>
        <c:spPr>
          <a:ln w="9360">
            <a:solidFill>
              <a:srgbClr val="000000"/>
            </a:solidFill>
            <a:round/>
          </a:ln>
        </c:spPr>
        <c:txPr>
          <a:bodyPr/>
          <a:lstStyle/>
          <a:p>
            <a:pPr>
              <a:defRPr b="0" sz="1000" spc="-1" strike="noStrike">
                <a:solidFill>
                  <a:srgbClr val="000000"/>
                </a:solidFill>
                <a:latin typeface="Arial Narrow"/>
              </a:defRPr>
            </a:pPr>
          </a:p>
        </c:txPr>
        <c:crossAx val="78173819"/>
        <c:crosses val="autoZero"/>
        <c:auto val="1"/>
        <c:lblAlgn val="ctr"/>
        <c:lblOffset val="100"/>
        <c:noMultiLvlLbl val="0"/>
      </c:catAx>
      <c:valAx>
        <c:axId val="78173819"/>
        <c:scaling>
          <c:orientation val="minMax"/>
        </c:scaling>
        <c:delete val="0"/>
        <c:axPos val="l"/>
        <c:majorGridlines>
          <c:spPr>
            <a:ln w="9360">
              <a:solidFill>
                <a:srgbClr val="d9d9d9"/>
              </a:solidFill>
              <a:prstDash val="dash"/>
              <a:round/>
            </a:ln>
          </c:spPr>
        </c:majorGridlines>
        <c:numFmt formatCode="#,##0"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Arial Narrow"/>
              </a:defRPr>
            </a:pPr>
          </a:p>
        </c:txPr>
        <c:crossAx val="82430113"/>
        <c:crosses val="autoZero"/>
        <c:crossBetween val="between"/>
      </c:valAx>
      <c:spPr>
        <a:solidFill>
          <a:srgbClr val="ffffff"/>
        </a:solidFill>
        <a:ln>
          <a:solidFill>
            <a:srgbClr val="000000"/>
          </a:solidFill>
        </a:ln>
      </c:spPr>
    </c:plotArea>
    <c:legend>
      <c:legendPos val="r"/>
      <c:layout>
        <c:manualLayout>
          <c:xMode val="edge"/>
          <c:yMode val="edge"/>
          <c:x val="0.83143117235823"/>
          <c:y val="0.0378752601817259"/>
          <c:w val="0.156029638561989"/>
          <c:h val="0.877083667815285"/>
        </c:manualLayout>
      </c:layout>
      <c:overlay val="0"/>
      <c:spPr>
        <a:noFill/>
        <a:ln>
          <a:noFill/>
        </a:ln>
      </c:spPr>
      <c:txPr>
        <a:bodyPr/>
        <a:lstStyle/>
        <a:p>
          <a:pPr>
            <a:defRPr b="0" sz="1000" spc="-1" strike="noStrike">
              <a:solidFill>
                <a:srgbClr val="000000"/>
              </a:solidFill>
              <a:latin typeface="Corbel"/>
            </a:defRPr>
          </a:pPr>
        </a:p>
      </c:txPr>
    </c:legend>
    <c:plotVisOnly val="1"/>
    <c:dispBlanksAs val="gap"/>
  </c:chart>
  <c:spPr>
    <a:solidFill>
      <a:srgbClr val="ffffff"/>
    </a:solidFill>
    <a:ln w="9360">
      <a:noFill/>
    </a:ln>
  </c:spPr>
</c:chartSpace>
</file>

<file path=xl/drawings/_rels/drawing1.xml.rels><?xml version="1.0" encoding="UTF-8"?>
<Relationships xmlns="http://schemas.openxmlformats.org/package/2006/relationships"><Relationship Id="rId1" Type="http://schemas.openxmlformats.org/officeDocument/2006/relationships/image" Target="../media/image1.wmf"/>
</Relationships>
</file>

<file path=xl/drawings/_rels/drawing2.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2.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33480</xdr:colOff>
      <xdr:row>0</xdr:row>
      <xdr:rowOff>0</xdr:rowOff>
    </xdr:from>
    <xdr:to>
      <xdr:col>11</xdr:col>
      <xdr:colOff>476280</xdr:colOff>
      <xdr:row>3</xdr:row>
      <xdr:rowOff>163800</xdr:rowOff>
    </xdr:to>
    <xdr:pic>
      <xdr:nvPicPr>
        <xdr:cNvPr id="0" name="Obrázek 16" descr="D:\SkyDrive\Dokumenty\11 Katalogy\10 Tlumiče\Greif\Šablona\Titul_01-Hlavní strana.emf"/>
        <xdr:cNvPicPr/>
      </xdr:nvPicPr>
      <xdr:blipFill>
        <a:blip r:embed="rId1"/>
        <a:srcRect l="0" t="0" r="500" b="0"/>
        <a:stretch/>
      </xdr:blipFill>
      <xdr:spPr>
        <a:xfrm>
          <a:off x="33480" y="0"/>
          <a:ext cx="6428880" cy="763560"/>
        </a:xfrm>
        <a:prstGeom prst="rect">
          <a:avLst/>
        </a:prstGeom>
        <a:ln>
          <a:noFill/>
        </a:ln>
      </xdr:spPr>
    </xdr:pic>
    <xdr:clientData/>
  </xdr:twoCellAnchor>
  <xdr:twoCellAnchor editAs="absolute">
    <xdr:from>
      <xdr:col>0</xdr:col>
      <xdr:colOff>0</xdr:colOff>
      <xdr:row>0</xdr:row>
      <xdr:rowOff>183600</xdr:rowOff>
    </xdr:from>
    <xdr:to>
      <xdr:col>1</xdr:col>
      <xdr:colOff>438840</xdr:colOff>
      <xdr:row>2</xdr:row>
      <xdr:rowOff>145440</xdr:rowOff>
    </xdr:to>
    <xdr:sp>
      <xdr:nvSpPr>
        <xdr:cNvPr id="1" name="CustomShape 1"/>
        <xdr:cNvSpPr/>
      </xdr:nvSpPr>
      <xdr:spPr>
        <a:xfrm>
          <a:off x="0" y="183600"/>
          <a:ext cx="982800" cy="361800"/>
        </a:xfrm>
        <a:prstGeom prst="rect">
          <a:avLst/>
        </a:prstGeom>
        <a:noFill/>
        <a:ln w="9360">
          <a:noFill/>
        </a:ln>
      </xdr:spPr>
      <xdr:style>
        <a:lnRef idx="0"/>
        <a:fillRef idx="0"/>
        <a:effectRef idx="0"/>
        <a:fontRef idx="minor"/>
      </xdr:style>
      <xdr:txBody>
        <a:bodyPr lIns="90000" rIns="90000" tIns="45000" bIns="45000" anchor="ctr">
          <a:noAutofit/>
        </a:bodyPr>
        <a:p>
          <a:pPr>
            <a:lnSpc>
              <a:spcPct val="100000"/>
            </a:lnSpc>
          </a:pPr>
          <a:r>
            <a:rPr b="0" lang="cs-CZ" sz="1600" spc="-1" strike="noStrike">
              <a:solidFill>
                <a:srgbClr val="000000"/>
              </a:solidFill>
              <a:latin typeface="Impact"/>
            </a:rPr>
            <a:t>Q199-01</a:t>
          </a:r>
          <a:endParaRPr b="0" lang="cs-CZ" sz="16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13</xdr:col>
      <xdr:colOff>55440</xdr:colOff>
      <xdr:row>19</xdr:row>
      <xdr:rowOff>39600</xdr:rowOff>
    </xdr:from>
    <xdr:to>
      <xdr:col>24</xdr:col>
      <xdr:colOff>456840</xdr:colOff>
      <xdr:row>40</xdr:row>
      <xdr:rowOff>134640</xdr:rowOff>
    </xdr:to>
    <xdr:graphicFrame>
      <xdr:nvGraphicFramePr>
        <xdr:cNvPr id="2" name="Graf 1"/>
        <xdr:cNvGraphicFramePr/>
      </xdr:nvGraphicFramePr>
      <xdr:xfrm>
        <a:off x="7129800" y="3839760"/>
        <a:ext cx="6387480" cy="4295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301680</xdr:colOff>
      <xdr:row>1</xdr:row>
      <xdr:rowOff>103320</xdr:rowOff>
    </xdr:from>
    <xdr:to>
      <xdr:col>15</xdr:col>
      <xdr:colOff>162360</xdr:colOff>
      <xdr:row>5</xdr:row>
      <xdr:rowOff>28440</xdr:rowOff>
    </xdr:to>
    <xdr:sp>
      <xdr:nvSpPr>
        <xdr:cNvPr id="3" name="CustomShape 1"/>
        <xdr:cNvSpPr/>
      </xdr:nvSpPr>
      <xdr:spPr>
        <a:xfrm>
          <a:off x="7376040" y="303120"/>
          <a:ext cx="948960" cy="725400"/>
        </a:xfrm>
        <a:prstGeom prst="rect">
          <a:avLst/>
        </a:prstGeom>
        <a:gradFill rotWithShape="0">
          <a:gsLst>
            <a:gs pos="0">
              <a:srgbClr val="9c2f2c"/>
            </a:gs>
            <a:gs pos="100000">
              <a:srgbClr val="cb3d39"/>
            </a:gs>
          </a:gsLst>
          <a:lin ang="16200000"/>
        </a:gradFill>
        <a:ln w="19080">
          <a:solidFill>
            <a:schemeClr val="tx1"/>
          </a:solidFill>
          <a:round/>
        </a:ln>
        <a:effectLst>
          <a:outerShdw blurRad="40000" dir="5400000" dist="23040" rotWithShape="0">
            <a:srgbClr val="000000">
              <a:alpha val="35000"/>
            </a:srgbClr>
          </a:outerShdw>
        </a:effectLst>
      </xdr:spPr>
      <xdr:style>
        <a:lnRef idx="1">
          <a:schemeClr val="accent2"/>
        </a:lnRef>
        <a:fillRef idx="3">
          <a:schemeClr val="accent2"/>
        </a:fillRef>
        <a:effectRef idx="2">
          <a:schemeClr val="accent2"/>
        </a:effectRef>
        <a:fontRef idx="minor"/>
      </xdr:style>
      <xdr:txBody>
        <a:bodyPr lIns="90000" rIns="90000" tIns="45000" bIns="45000" anchor="ctr">
          <a:noAutofit/>
        </a:bodyPr>
        <a:p>
          <a:pPr algn="ctr">
            <a:lnSpc>
              <a:spcPct val="100000"/>
            </a:lnSpc>
          </a:pPr>
          <a:r>
            <a:rPr b="1" lang="cs-CZ" sz="1100" spc="-1" strike="noStrike">
              <a:solidFill>
                <a:srgbClr val="ffffff"/>
              </a:solidFill>
              <a:latin typeface="Arial Narrow"/>
            </a:rPr>
            <a:t>ZDROJ HLUKU</a:t>
          </a:r>
          <a:endParaRPr b="0" lang="cs-CZ" sz="1100" spc="-1" strike="noStrike">
            <a:latin typeface="Times New Roman"/>
          </a:endParaRPr>
        </a:p>
        <a:p>
          <a:pPr algn="ctr">
            <a:lnSpc>
              <a:spcPct val="100000"/>
            </a:lnSpc>
          </a:pPr>
          <a:r>
            <a:rPr b="1" lang="cs-CZ" sz="1100" spc="-1" strike="noStrike">
              <a:solidFill>
                <a:srgbClr val="ffffff"/>
              </a:solidFill>
              <a:latin typeface="Arial Narrow"/>
            </a:rPr>
            <a:t>L</a:t>
          </a:r>
          <a:r>
            <a:rPr b="1" lang="cs-CZ" sz="800" spc="-1" strike="noStrike">
              <a:solidFill>
                <a:srgbClr val="ffffff"/>
              </a:solidFill>
              <a:latin typeface="Arial Narrow"/>
            </a:rPr>
            <a:t>WZ</a:t>
          </a:r>
          <a:r>
            <a:rPr b="1" lang="cs-CZ" sz="1100" spc="-1" strike="noStrike">
              <a:solidFill>
                <a:srgbClr val="ffffff"/>
              </a:solidFill>
              <a:latin typeface="Arial Narrow"/>
            </a:rPr>
            <a:t> </a:t>
          </a:r>
          <a:endParaRPr b="0" lang="cs-CZ" sz="1100" spc="-1" strike="noStrike">
            <a:latin typeface="Times New Roman"/>
          </a:endParaRPr>
        </a:p>
      </xdr:txBody>
    </xdr:sp>
    <xdr:clientData/>
  </xdr:twoCellAnchor>
  <xdr:twoCellAnchor editAs="absolute">
    <xdr:from>
      <xdr:col>16</xdr:col>
      <xdr:colOff>343440</xdr:colOff>
      <xdr:row>1</xdr:row>
      <xdr:rowOff>103320</xdr:rowOff>
    </xdr:from>
    <xdr:to>
      <xdr:col>18</xdr:col>
      <xdr:colOff>204120</xdr:colOff>
      <xdr:row>5</xdr:row>
      <xdr:rowOff>28440</xdr:rowOff>
    </xdr:to>
    <xdr:sp>
      <xdr:nvSpPr>
        <xdr:cNvPr id="4" name="CustomShape 1"/>
        <xdr:cNvSpPr/>
      </xdr:nvSpPr>
      <xdr:spPr>
        <a:xfrm>
          <a:off x="9050400" y="303120"/>
          <a:ext cx="948960" cy="725400"/>
        </a:xfrm>
        <a:prstGeom prst="rect">
          <a:avLst/>
        </a:prstGeom>
        <a:gradFill rotWithShape="0">
          <a:gsLst>
            <a:gs pos="0">
              <a:srgbClr val="2e5f99"/>
            </a:gs>
            <a:gs pos="100000">
              <a:srgbClr val="3c7ac7"/>
            </a:gs>
          </a:gsLst>
          <a:lin ang="16200000"/>
        </a:gradFill>
        <a:ln w="19080">
          <a:solidFill>
            <a:schemeClr val="tx1"/>
          </a:solidFill>
          <a:round/>
        </a:ln>
        <a:effectLst>
          <a:outerShdw blurRad="40000" dir="5400000" dist="23040" rotWithShape="0">
            <a:srgbClr val="000000">
              <a:alpha val="35000"/>
            </a:srgbClr>
          </a:outerShdw>
        </a:effectLst>
      </xdr:spPr>
      <xdr:style>
        <a:lnRef idx="1">
          <a:schemeClr val="accent1"/>
        </a:lnRef>
        <a:fillRef idx="3">
          <a:schemeClr val="accent1"/>
        </a:fillRef>
        <a:effectRef idx="2">
          <a:schemeClr val="accent1"/>
        </a:effectRef>
        <a:fontRef idx="minor"/>
      </xdr:style>
      <xdr:txBody>
        <a:bodyPr lIns="90000" rIns="90000" tIns="45000" bIns="45000" anchor="ctr">
          <a:noAutofit/>
        </a:bodyPr>
        <a:p>
          <a:pPr algn="ctr">
            <a:lnSpc>
              <a:spcPct val="100000"/>
            </a:lnSpc>
          </a:pPr>
          <a:r>
            <a:rPr b="1" lang="cs-CZ" sz="1100" spc="-1" strike="noStrike">
              <a:solidFill>
                <a:srgbClr val="ffffff"/>
              </a:solidFill>
              <a:latin typeface="Arial Narrow"/>
            </a:rPr>
            <a:t>ÚTLUM TLUMIČEM</a:t>
          </a:r>
          <a:endParaRPr b="0" lang="cs-CZ" sz="1100" spc="-1" strike="noStrike">
            <a:latin typeface="Times New Roman"/>
          </a:endParaRPr>
        </a:p>
        <a:p>
          <a:pPr algn="ctr">
            <a:lnSpc>
              <a:spcPct val="100000"/>
            </a:lnSpc>
          </a:pPr>
          <a:r>
            <a:rPr b="1" lang="cs-CZ" sz="1100" spc="-1" strike="noStrike">
              <a:solidFill>
                <a:srgbClr val="ffffff"/>
              </a:solidFill>
              <a:latin typeface="Arial Narrow"/>
            </a:rPr>
            <a:t>D</a:t>
          </a:r>
          <a:r>
            <a:rPr b="1" lang="cs-CZ" sz="800" spc="-1" strike="noStrike">
              <a:solidFill>
                <a:srgbClr val="ffffff"/>
              </a:solidFill>
              <a:latin typeface="Arial Narrow"/>
            </a:rPr>
            <a:t>T</a:t>
          </a:r>
          <a:r>
            <a:rPr b="1" lang="cs-CZ" sz="1100" spc="-1" strike="noStrike">
              <a:solidFill>
                <a:srgbClr val="ffffff"/>
              </a:solidFill>
              <a:latin typeface="Arial Narrow"/>
            </a:rPr>
            <a:t>, L</a:t>
          </a:r>
          <a:r>
            <a:rPr b="1" lang="cs-CZ" sz="800" spc="-1" strike="noStrike">
              <a:solidFill>
                <a:srgbClr val="ffffff"/>
              </a:solidFill>
              <a:latin typeface="Arial Narrow"/>
            </a:rPr>
            <a:t>WT</a:t>
          </a:r>
          <a:endParaRPr b="0" lang="cs-CZ" sz="800" spc="-1" strike="noStrike">
            <a:latin typeface="Times New Roman"/>
          </a:endParaRPr>
        </a:p>
      </xdr:txBody>
    </xdr:sp>
    <xdr:clientData/>
  </xdr:twoCellAnchor>
  <xdr:twoCellAnchor editAs="absolute">
    <xdr:from>
      <xdr:col>15</xdr:col>
      <xdr:colOff>167760</xdr:colOff>
      <xdr:row>2</xdr:row>
      <xdr:rowOff>151200</xdr:rowOff>
    </xdr:from>
    <xdr:to>
      <xdr:col>16</xdr:col>
      <xdr:colOff>317880</xdr:colOff>
      <xdr:row>4</xdr:row>
      <xdr:rowOff>6840</xdr:rowOff>
    </xdr:to>
    <xdr:sp>
      <xdr:nvSpPr>
        <xdr:cNvPr id="5" name="CustomShape 1"/>
        <xdr:cNvSpPr/>
      </xdr:nvSpPr>
      <xdr:spPr>
        <a:xfrm>
          <a:off x="8330400" y="551160"/>
          <a:ext cx="694440" cy="255600"/>
        </a:xfrm>
        <a:prstGeom prst="rightArrow">
          <a:avLst>
            <a:gd name="adj1" fmla="val 50000"/>
            <a:gd name="adj2" fmla="val 50000"/>
          </a:avLst>
        </a:prstGeom>
        <a:ln w="19080">
          <a:round/>
        </a:ln>
      </xdr:spPr>
      <xdr:style>
        <a:lnRef idx="2">
          <a:schemeClr val="dk1"/>
        </a:lnRef>
        <a:fillRef idx="1">
          <a:schemeClr val="lt1"/>
        </a:fillRef>
        <a:effectRef idx="0">
          <a:schemeClr val="dk1"/>
        </a:effectRef>
        <a:fontRef idx="minor"/>
      </xdr:style>
    </xdr:sp>
    <xdr:clientData/>
  </xdr:twoCellAnchor>
  <xdr:twoCellAnchor editAs="absolute">
    <xdr:from>
      <xdr:col>18</xdr:col>
      <xdr:colOff>209520</xdr:colOff>
      <xdr:row>2</xdr:row>
      <xdr:rowOff>151200</xdr:rowOff>
    </xdr:from>
    <xdr:to>
      <xdr:col>19</xdr:col>
      <xdr:colOff>359640</xdr:colOff>
      <xdr:row>4</xdr:row>
      <xdr:rowOff>6840</xdr:rowOff>
    </xdr:to>
    <xdr:sp>
      <xdr:nvSpPr>
        <xdr:cNvPr id="6" name="CustomShape 1"/>
        <xdr:cNvSpPr/>
      </xdr:nvSpPr>
      <xdr:spPr>
        <a:xfrm>
          <a:off x="10004760" y="551160"/>
          <a:ext cx="694440" cy="255600"/>
        </a:xfrm>
        <a:prstGeom prst="rightArrow">
          <a:avLst>
            <a:gd name="adj1" fmla="val 50000"/>
            <a:gd name="adj2" fmla="val 50000"/>
          </a:avLst>
        </a:prstGeom>
        <a:ln w="19080">
          <a:round/>
        </a:ln>
      </xdr:spPr>
      <xdr:style>
        <a:lnRef idx="2">
          <a:schemeClr val="dk1"/>
        </a:lnRef>
        <a:fillRef idx="1">
          <a:schemeClr val="lt1"/>
        </a:fillRef>
        <a:effectRef idx="0">
          <a:schemeClr val="dk1"/>
        </a:effectRef>
        <a:fontRef idx="minor"/>
      </xdr:style>
    </xdr:sp>
    <xdr:clientData/>
  </xdr:twoCellAnchor>
  <xdr:twoCellAnchor editAs="absolute">
    <xdr:from>
      <xdr:col>19</xdr:col>
      <xdr:colOff>393480</xdr:colOff>
      <xdr:row>1</xdr:row>
      <xdr:rowOff>103320</xdr:rowOff>
    </xdr:from>
    <xdr:to>
      <xdr:col>21</xdr:col>
      <xdr:colOff>254160</xdr:colOff>
      <xdr:row>5</xdr:row>
      <xdr:rowOff>28440</xdr:rowOff>
    </xdr:to>
    <xdr:sp>
      <xdr:nvSpPr>
        <xdr:cNvPr id="7" name="CustomShape 1"/>
        <xdr:cNvSpPr/>
      </xdr:nvSpPr>
      <xdr:spPr>
        <a:xfrm>
          <a:off x="10733040" y="303120"/>
          <a:ext cx="948960" cy="725400"/>
        </a:xfrm>
        <a:prstGeom prst="rect">
          <a:avLst/>
        </a:prstGeom>
        <a:solidFill>
          <a:srgbClr val="ffc000"/>
        </a:solidFill>
        <a:ln w="19080">
          <a:solidFill>
            <a:schemeClr val="tx1"/>
          </a:solidFill>
          <a:round/>
        </a:ln>
        <a:effectLst>
          <a:outerShdw blurRad="40000" dir="5400000" dist="23040" rotWithShape="0">
            <a:srgbClr val="000000">
              <a:alpha val="35000"/>
            </a:srgbClr>
          </a:outerShdw>
        </a:effectLst>
      </xdr:spPr>
      <xdr:style>
        <a:lnRef idx="1">
          <a:schemeClr val="accent1"/>
        </a:lnRef>
        <a:fillRef idx="3">
          <a:schemeClr val="accent1"/>
        </a:fillRef>
        <a:effectRef idx="2">
          <a:schemeClr val="accent1"/>
        </a:effectRef>
        <a:fontRef idx="minor"/>
      </xdr:style>
      <xdr:txBody>
        <a:bodyPr lIns="90000" rIns="90000" tIns="45000" bIns="45000" anchor="ctr">
          <a:noAutofit/>
        </a:bodyPr>
        <a:p>
          <a:pPr algn="ctr">
            <a:lnSpc>
              <a:spcPct val="100000"/>
            </a:lnSpc>
          </a:pPr>
          <a:r>
            <a:rPr b="1" lang="cs-CZ" sz="1100" spc="-1" strike="noStrike">
              <a:solidFill>
                <a:srgbClr val="000000"/>
              </a:solidFill>
              <a:latin typeface="Arial Narrow"/>
            </a:rPr>
            <a:t> </a:t>
          </a:r>
          <a:r>
            <a:rPr b="1" lang="cs-CZ" sz="1100" spc="-1" strike="noStrike">
              <a:solidFill>
                <a:srgbClr val="000000"/>
              </a:solidFill>
              <a:latin typeface="Arial Narrow"/>
            </a:rPr>
            <a:t>ÚTLUM</a:t>
          </a:r>
          <a:endParaRPr b="0" lang="cs-CZ" sz="1100" spc="-1" strike="noStrike">
            <a:latin typeface="Times New Roman"/>
          </a:endParaRPr>
        </a:p>
        <a:p>
          <a:pPr algn="ctr">
            <a:lnSpc>
              <a:spcPct val="100000"/>
            </a:lnSpc>
          </a:pPr>
          <a:r>
            <a:rPr b="1" lang="cs-CZ" sz="1100" spc="-1" strike="noStrike">
              <a:solidFill>
                <a:srgbClr val="000000"/>
              </a:solidFill>
              <a:latin typeface="Arial Narrow"/>
            </a:rPr>
            <a:t>POTRUBÍM</a:t>
          </a:r>
          <a:endParaRPr b="0" lang="cs-CZ" sz="1100" spc="-1" strike="noStrike">
            <a:latin typeface="Times New Roman"/>
          </a:endParaRPr>
        </a:p>
        <a:p>
          <a:pPr algn="ctr">
            <a:lnSpc>
              <a:spcPct val="100000"/>
            </a:lnSpc>
          </a:pPr>
          <a:r>
            <a:rPr b="1" lang="cs-CZ" sz="1100" spc="-1" strike="noStrike">
              <a:solidFill>
                <a:srgbClr val="000000"/>
              </a:solidFill>
              <a:latin typeface="Arial Narrow"/>
            </a:rPr>
            <a:t>D</a:t>
          </a:r>
          <a:r>
            <a:rPr b="1" lang="cs-CZ" sz="800" spc="-1" strike="noStrike">
              <a:solidFill>
                <a:srgbClr val="000000"/>
              </a:solidFill>
              <a:latin typeface="Arial Narrow"/>
            </a:rPr>
            <a:t>P</a:t>
          </a:r>
          <a:endParaRPr b="0" lang="cs-CZ" sz="800" spc="-1" strike="noStrike">
            <a:latin typeface="Times New Roman"/>
          </a:endParaRPr>
        </a:p>
      </xdr:txBody>
    </xdr:sp>
    <xdr:clientData/>
  </xdr:twoCellAnchor>
  <xdr:twoCellAnchor editAs="absolute">
    <xdr:from>
      <xdr:col>21</xdr:col>
      <xdr:colOff>261360</xdr:colOff>
      <xdr:row>2</xdr:row>
      <xdr:rowOff>151200</xdr:rowOff>
    </xdr:from>
    <xdr:to>
      <xdr:col>22</xdr:col>
      <xdr:colOff>411480</xdr:colOff>
      <xdr:row>4</xdr:row>
      <xdr:rowOff>6840</xdr:rowOff>
    </xdr:to>
    <xdr:sp>
      <xdr:nvSpPr>
        <xdr:cNvPr id="8" name="CustomShape 1"/>
        <xdr:cNvSpPr/>
      </xdr:nvSpPr>
      <xdr:spPr>
        <a:xfrm>
          <a:off x="11689200" y="551160"/>
          <a:ext cx="694440" cy="255600"/>
        </a:xfrm>
        <a:prstGeom prst="rightArrow">
          <a:avLst>
            <a:gd name="adj1" fmla="val 50000"/>
            <a:gd name="adj2" fmla="val 50000"/>
          </a:avLst>
        </a:prstGeom>
        <a:ln w="19080">
          <a:round/>
        </a:ln>
      </xdr:spPr>
      <xdr:style>
        <a:lnRef idx="2">
          <a:schemeClr val="dk1"/>
        </a:lnRef>
        <a:fillRef idx="1">
          <a:schemeClr val="lt1"/>
        </a:fillRef>
        <a:effectRef idx="0">
          <a:schemeClr val="dk1"/>
        </a:effectRef>
        <a:fontRef idx="minor"/>
      </xdr:style>
    </xdr:sp>
    <xdr:clientData/>
  </xdr:twoCellAnchor>
  <xdr:twoCellAnchor editAs="absolute">
    <xdr:from>
      <xdr:col>22</xdr:col>
      <xdr:colOff>443520</xdr:colOff>
      <xdr:row>1</xdr:row>
      <xdr:rowOff>103320</xdr:rowOff>
    </xdr:from>
    <xdr:to>
      <xdr:col>24</xdr:col>
      <xdr:colOff>304200</xdr:colOff>
      <xdr:row>5</xdr:row>
      <xdr:rowOff>28440</xdr:rowOff>
    </xdr:to>
    <xdr:sp>
      <xdr:nvSpPr>
        <xdr:cNvPr id="9" name="CustomShape 1"/>
        <xdr:cNvSpPr/>
      </xdr:nvSpPr>
      <xdr:spPr>
        <a:xfrm>
          <a:off x="12415680" y="303120"/>
          <a:ext cx="948960" cy="725400"/>
        </a:xfrm>
        <a:prstGeom prst="rect">
          <a:avLst/>
        </a:prstGeom>
        <a:solidFill>
          <a:srgbClr val="006f3d"/>
        </a:solidFill>
        <a:ln w="19080">
          <a:round/>
        </a:ln>
      </xdr:spPr>
      <xdr:style>
        <a:lnRef idx="0"/>
        <a:fillRef idx="0"/>
        <a:effectRef idx="0"/>
        <a:fontRef idx="minor"/>
      </xdr:style>
      <xdr:txBody>
        <a:bodyPr wrap="none" lIns="90000" rIns="90000" tIns="45000" bIns="45000" anchor="ctr">
          <a:noAutofit/>
        </a:bodyPr>
        <a:p>
          <a:pPr algn="ctr">
            <a:lnSpc>
              <a:spcPct val="100000"/>
            </a:lnSpc>
          </a:pPr>
          <a:r>
            <a:rPr b="1" lang="cs-CZ" sz="1100" spc="-1" strike="noStrike">
              <a:solidFill>
                <a:srgbClr val="ffffff"/>
              </a:solidFill>
              <a:latin typeface="Arial Narrow"/>
            </a:rPr>
            <a:t>VÝSLEDNÝ</a:t>
          </a:r>
          <a:endParaRPr b="0" lang="cs-CZ" sz="1100" spc="-1" strike="noStrike">
            <a:latin typeface="Times New Roman"/>
          </a:endParaRPr>
        </a:p>
        <a:p>
          <a:pPr algn="ctr">
            <a:lnSpc>
              <a:spcPct val="100000"/>
            </a:lnSpc>
          </a:pPr>
          <a:r>
            <a:rPr b="1" lang="cs-CZ" sz="1100" spc="-1" strike="noStrike">
              <a:solidFill>
                <a:srgbClr val="ffffff"/>
              </a:solidFill>
              <a:latin typeface="Arial Narrow"/>
            </a:rPr>
            <a:t>ÚTLUM</a:t>
          </a:r>
          <a:endParaRPr b="0" lang="cs-CZ" sz="1100" spc="-1" strike="noStrike">
            <a:latin typeface="Times New Roman"/>
          </a:endParaRPr>
        </a:p>
        <a:p>
          <a:pPr algn="ctr">
            <a:lnSpc>
              <a:spcPct val="100000"/>
            </a:lnSpc>
          </a:pPr>
          <a:r>
            <a:rPr b="1" lang="cs-CZ" sz="1100" spc="-1" strike="noStrike">
              <a:solidFill>
                <a:srgbClr val="ffffff"/>
              </a:solidFill>
              <a:latin typeface="Arial Narrow"/>
            </a:rPr>
            <a:t>D</a:t>
          </a:r>
          <a:r>
            <a:rPr b="1" lang="cs-CZ" sz="800" spc="-1" strike="noStrike">
              <a:solidFill>
                <a:srgbClr val="ffffff"/>
              </a:solidFill>
              <a:latin typeface="Arial Narrow"/>
            </a:rPr>
            <a:t>C</a:t>
          </a:r>
          <a:r>
            <a:rPr b="1" lang="cs-CZ" sz="1100" spc="-1" strike="noStrike">
              <a:solidFill>
                <a:srgbClr val="ffffff"/>
              </a:solidFill>
              <a:latin typeface="Arial Narrow"/>
            </a:rPr>
            <a:t>, L</a:t>
          </a:r>
          <a:r>
            <a:rPr b="1" lang="cs-CZ" sz="800" spc="-1" strike="noStrike">
              <a:solidFill>
                <a:srgbClr val="ffffff"/>
              </a:solidFill>
              <a:latin typeface="Arial Narrow"/>
            </a:rPr>
            <a:t>WC</a:t>
          </a:r>
          <a:r>
            <a:rPr b="1" lang="cs-CZ" sz="1100" spc="-1" strike="noStrike">
              <a:solidFill>
                <a:srgbClr val="ffffff"/>
              </a:solidFill>
              <a:latin typeface="Corbel"/>
            </a:rPr>
            <a:t> </a:t>
          </a:r>
          <a:endParaRPr b="0" lang="cs-CZ" sz="1100" spc="-1" strike="noStrike">
            <a:latin typeface="Times New Roman"/>
          </a:endParaRPr>
        </a:p>
      </xdr:txBody>
    </xdr:sp>
    <xdr:clientData/>
  </xdr:twoCellAnchor>
  <xdr:twoCellAnchor editAs="absolute">
    <xdr:from>
      <xdr:col>16</xdr:col>
      <xdr:colOff>133920</xdr:colOff>
      <xdr:row>5</xdr:row>
      <xdr:rowOff>142920</xdr:rowOff>
    </xdr:from>
    <xdr:to>
      <xdr:col>21</xdr:col>
      <xdr:colOff>488160</xdr:colOff>
      <xdr:row>7</xdr:row>
      <xdr:rowOff>38520</xdr:rowOff>
    </xdr:to>
    <xdr:sp>
      <xdr:nvSpPr>
        <xdr:cNvPr id="10" name="CustomShape 1"/>
        <xdr:cNvSpPr/>
      </xdr:nvSpPr>
      <xdr:spPr>
        <a:xfrm>
          <a:off x="8840880" y="1143000"/>
          <a:ext cx="3075120" cy="295560"/>
        </a:xfrm>
        <a:prstGeom prst="rect">
          <a:avLst/>
        </a:prstGeom>
        <a:solidFill>
          <a:srgbClr val="ffffff"/>
        </a:solidFill>
        <a:ln w="19080">
          <a:solidFill>
            <a:schemeClr val="tx1"/>
          </a:solidFill>
          <a:round/>
        </a:ln>
        <a:effectLst>
          <a:outerShdw blurRad="40000" dir="5400000" dist="23040" rotWithShape="0">
            <a:srgbClr val="000000">
              <a:alpha val="35000"/>
            </a:srgbClr>
          </a:outerShdw>
        </a:effectLst>
      </xdr:spPr>
      <xdr:style>
        <a:lnRef idx="1">
          <a:schemeClr val="accent2"/>
        </a:lnRef>
        <a:fillRef idx="3">
          <a:schemeClr val="accent2"/>
        </a:fillRef>
        <a:effectRef idx="2">
          <a:schemeClr val="accent2"/>
        </a:effectRef>
        <a:fontRef idx="minor"/>
      </xdr:style>
      <xdr:txBody>
        <a:bodyPr lIns="90000" rIns="90000" tIns="45000" bIns="45000" anchor="ctr">
          <a:noAutofit/>
        </a:bodyPr>
        <a:p>
          <a:pPr algn="ctr">
            <a:lnSpc>
              <a:spcPct val="100000"/>
            </a:lnSpc>
          </a:pPr>
          <a:r>
            <a:rPr b="1" lang="cs-CZ" sz="1100" spc="-1" strike="noStrike">
              <a:solidFill>
                <a:srgbClr val="000000"/>
              </a:solidFill>
              <a:latin typeface="Arial Narrow"/>
            </a:rPr>
            <a:t>CELKOVÝ ÚTLUM HLUKU D</a:t>
          </a:r>
          <a:r>
            <a:rPr b="1" lang="cs-CZ" sz="800" spc="-1" strike="noStrike">
              <a:solidFill>
                <a:srgbClr val="000000"/>
              </a:solidFill>
              <a:latin typeface="Arial Narrow"/>
            </a:rPr>
            <a:t>C</a:t>
          </a:r>
          <a:r>
            <a:rPr b="1" lang="cs-CZ" sz="1100" spc="-1" strike="noStrike">
              <a:solidFill>
                <a:srgbClr val="000000"/>
              </a:solidFill>
              <a:latin typeface="Arial Narrow"/>
            </a:rPr>
            <a:t> = L</a:t>
          </a:r>
          <a:r>
            <a:rPr b="1" lang="cs-CZ" sz="800" spc="-1" strike="noStrike">
              <a:solidFill>
                <a:srgbClr val="000000"/>
              </a:solidFill>
              <a:latin typeface="Arial Narrow"/>
            </a:rPr>
            <a:t>WZ</a:t>
          </a:r>
          <a:r>
            <a:rPr b="1" lang="cs-CZ" sz="1100" spc="-1" strike="noStrike">
              <a:solidFill>
                <a:srgbClr val="000000"/>
              </a:solidFill>
              <a:latin typeface="Arial Narrow"/>
            </a:rPr>
            <a:t>  - L</a:t>
          </a:r>
          <a:r>
            <a:rPr b="1" lang="cs-CZ" sz="800" spc="-1" strike="noStrike">
              <a:solidFill>
                <a:srgbClr val="000000"/>
              </a:solidFill>
              <a:latin typeface="Arial Narrow"/>
            </a:rPr>
            <a:t>WC</a:t>
          </a:r>
          <a:endParaRPr b="0" lang="cs-CZ" sz="800" spc="-1" strike="noStrike">
            <a:latin typeface="Times New Roman"/>
          </a:endParaRPr>
        </a:p>
      </xdr:txBody>
    </xdr:sp>
    <xdr:clientData/>
  </xdr:twoCellAnchor>
  <xdr:twoCellAnchor editAs="absolute">
    <xdr:from>
      <xdr:col>21</xdr:col>
      <xdr:colOff>487440</xdr:colOff>
      <xdr:row>5</xdr:row>
      <xdr:rowOff>168480</xdr:rowOff>
    </xdr:from>
    <xdr:to>
      <xdr:col>23</xdr:col>
      <xdr:colOff>351000</xdr:colOff>
      <xdr:row>7</xdr:row>
      <xdr:rowOff>24120</xdr:rowOff>
    </xdr:to>
    <xdr:sp>
      <xdr:nvSpPr>
        <xdr:cNvPr id="11" name="CustomShape 1"/>
        <xdr:cNvSpPr/>
      </xdr:nvSpPr>
      <xdr:spPr>
        <a:xfrm>
          <a:off x="11915280" y="1168560"/>
          <a:ext cx="952200" cy="255600"/>
        </a:xfrm>
        <a:prstGeom prst="rightArrow">
          <a:avLst>
            <a:gd name="adj1" fmla="val 50000"/>
            <a:gd name="adj2" fmla="val 50000"/>
          </a:avLst>
        </a:prstGeom>
        <a:ln w="19080">
          <a:round/>
        </a:ln>
      </xdr:spPr>
      <xdr:style>
        <a:lnRef idx="2">
          <a:schemeClr val="dk1"/>
        </a:lnRef>
        <a:fillRef idx="1">
          <a:schemeClr val="lt1"/>
        </a:fillRef>
        <a:effectRef idx="0">
          <a:schemeClr val="dk1"/>
        </a:effectRef>
        <a:fontRef idx="minor"/>
      </xdr:style>
    </xdr:sp>
    <xdr:clientData/>
  </xdr:twoCellAnchor>
  <xdr:twoCellAnchor editAs="absolute">
    <xdr:from>
      <xdr:col>16</xdr:col>
      <xdr:colOff>134280</xdr:colOff>
      <xdr:row>7</xdr:row>
      <xdr:rowOff>24840</xdr:rowOff>
    </xdr:from>
    <xdr:to>
      <xdr:col>17</xdr:col>
      <xdr:colOff>542160</xdr:colOff>
      <xdr:row>8</xdr:row>
      <xdr:rowOff>80280</xdr:rowOff>
    </xdr:to>
    <xdr:sp>
      <xdr:nvSpPr>
        <xdr:cNvPr id="12" name="CustomShape 1"/>
        <xdr:cNvSpPr/>
      </xdr:nvSpPr>
      <xdr:spPr>
        <a:xfrm rot="10800000">
          <a:off x="7889040" y="1168920"/>
          <a:ext cx="952200" cy="255600"/>
        </a:xfrm>
        <a:prstGeom prst="rightArrow">
          <a:avLst>
            <a:gd name="adj1" fmla="val 50000"/>
            <a:gd name="adj2" fmla="val 50000"/>
          </a:avLst>
        </a:prstGeom>
        <a:ln w="19080">
          <a:round/>
        </a:ln>
      </xdr:spPr>
      <xdr:style>
        <a:lnRef idx="2">
          <a:schemeClr val="dk1"/>
        </a:lnRef>
        <a:fillRef idx="1">
          <a:schemeClr val="lt1"/>
        </a:fillRef>
        <a:effectRef idx="0">
          <a:schemeClr val="dk1"/>
        </a:effectRef>
        <a:fontRef idx="minor"/>
      </xdr:style>
    </xdr:sp>
    <xdr:clientData/>
  </xdr:twoCellAnchor>
  <xdr:twoCellAnchor editAs="absolute">
    <xdr:from>
      <xdr:col>14</xdr:col>
      <xdr:colOff>231840</xdr:colOff>
      <xdr:row>5</xdr:row>
      <xdr:rowOff>28440</xdr:rowOff>
    </xdr:from>
    <xdr:to>
      <xdr:col>14</xdr:col>
      <xdr:colOff>234360</xdr:colOff>
      <xdr:row>7</xdr:row>
      <xdr:rowOff>95040</xdr:rowOff>
    </xdr:to>
    <xdr:sp>
      <xdr:nvSpPr>
        <xdr:cNvPr id="13" name="Line 1"/>
        <xdr:cNvSpPr/>
      </xdr:nvSpPr>
      <xdr:spPr>
        <a:xfrm>
          <a:off x="7850520" y="1028520"/>
          <a:ext cx="2520" cy="466560"/>
        </a:xfrm>
        <a:prstGeom prst="line">
          <a:avLst/>
        </a:prstGeom>
        <a:ln w="19080">
          <a:solidFill>
            <a:srgbClr val="000000"/>
          </a:solidFill>
          <a:round/>
        </a:ln>
      </xdr:spPr>
      <xdr:style>
        <a:lnRef idx="0"/>
        <a:fillRef idx="0"/>
        <a:effectRef idx="0"/>
        <a:fontRef idx="minor"/>
      </xdr:style>
    </xdr:sp>
    <xdr:clientData/>
  </xdr:twoCellAnchor>
  <xdr:twoCellAnchor editAs="absolute">
    <xdr:from>
      <xdr:col>23</xdr:col>
      <xdr:colOff>373680</xdr:colOff>
      <xdr:row>5</xdr:row>
      <xdr:rowOff>44640</xdr:rowOff>
    </xdr:from>
    <xdr:to>
      <xdr:col>23</xdr:col>
      <xdr:colOff>376560</xdr:colOff>
      <xdr:row>7</xdr:row>
      <xdr:rowOff>110880</xdr:rowOff>
    </xdr:to>
    <xdr:sp>
      <xdr:nvSpPr>
        <xdr:cNvPr id="14" name="Line 1"/>
        <xdr:cNvSpPr/>
      </xdr:nvSpPr>
      <xdr:spPr>
        <a:xfrm>
          <a:off x="12890160" y="1044720"/>
          <a:ext cx="2880" cy="466200"/>
        </a:xfrm>
        <a:prstGeom prst="line">
          <a:avLst/>
        </a:prstGeom>
        <a:ln w="19080">
          <a:solidFill>
            <a:srgbClr val="000000"/>
          </a:solidFill>
          <a:round/>
        </a:ln>
      </xdr:spPr>
      <xdr:style>
        <a:lnRef idx="0"/>
        <a:fillRef idx="0"/>
        <a:effectRef idx="0"/>
        <a:fontRef idx="minor"/>
      </xdr:style>
    </xdr:sp>
    <xdr:clientData/>
  </xdr:twoCellAnchor>
  <xdr:twoCellAnchor editAs="absolute">
    <xdr:from>
      <xdr:col>0</xdr:col>
      <xdr:colOff>33480</xdr:colOff>
      <xdr:row>0</xdr:row>
      <xdr:rowOff>0</xdr:rowOff>
    </xdr:from>
    <xdr:to>
      <xdr:col>11</xdr:col>
      <xdr:colOff>476280</xdr:colOff>
      <xdr:row>3</xdr:row>
      <xdr:rowOff>163800</xdr:rowOff>
    </xdr:to>
    <xdr:pic>
      <xdr:nvPicPr>
        <xdr:cNvPr id="15" name="Obrázek 2" descr="D:\SkyDrive\Dokumenty\11 Katalogy\10 Tlumiče\Greif\Šablona\Titul_01-Hlavní strana.emf"/>
        <xdr:cNvPicPr/>
      </xdr:nvPicPr>
      <xdr:blipFill>
        <a:blip r:embed="rId2"/>
        <a:srcRect l="0" t="0" r="500" b="0"/>
        <a:stretch/>
      </xdr:blipFill>
      <xdr:spPr>
        <a:xfrm>
          <a:off x="33480" y="0"/>
          <a:ext cx="6428880" cy="763560"/>
        </a:xfrm>
        <a:prstGeom prst="rect">
          <a:avLst/>
        </a:prstGeom>
        <a:ln>
          <a:noFill/>
        </a:ln>
      </xdr:spPr>
    </xdr:pic>
    <xdr:clientData/>
  </xdr:twoCellAnchor>
  <xdr:twoCellAnchor editAs="absolute">
    <xdr:from>
      <xdr:col>0</xdr:col>
      <xdr:colOff>0</xdr:colOff>
      <xdr:row>0</xdr:row>
      <xdr:rowOff>183600</xdr:rowOff>
    </xdr:from>
    <xdr:to>
      <xdr:col>1</xdr:col>
      <xdr:colOff>438840</xdr:colOff>
      <xdr:row>2</xdr:row>
      <xdr:rowOff>145440</xdr:rowOff>
    </xdr:to>
    <xdr:sp>
      <xdr:nvSpPr>
        <xdr:cNvPr id="16" name="CustomShape 1"/>
        <xdr:cNvSpPr/>
      </xdr:nvSpPr>
      <xdr:spPr>
        <a:xfrm>
          <a:off x="0" y="183600"/>
          <a:ext cx="982800" cy="361800"/>
        </a:xfrm>
        <a:prstGeom prst="rect">
          <a:avLst/>
        </a:prstGeom>
        <a:noFill/>
        <a:ln w="9360">
          <a:noFill/>
        </a:ln>
      </xdr:spPr>
      <xdr:style>
        <a:lnRef idx="0"/>
        <a:fillRef idx="0"/>
        <a:effectRef idx="0"/>
        <a:fontRef idx="minor"/>
      </xdr:style>
      <xdr:txBody>
        <a:bodyPr lIns="90000" rIns="90000" tIns="45000" bIns="45000" anchor="ctr">
          <a:noAutofit/>
        </a:bodyPr>
        <a:p>
          <a:pPr>
            <a:lnSpc>
              <a:spcPct val="100000"/>
            </a:lnSpc>
          </a:pPr>
          <a:r>
            <a:rPr b="0" lang="cs-CZ" sz="1600" spc="-1" strike="noStrike">
              <a:solidFill>
                <a:srgbClr val="000000"/>
              </a:solidFill>
              <a:latin typeface="Impact"/>
            </a:rPr>
            <a:t>Q199-01</a:t>
          </a:r>
          <a:endParaRPr b="0" lang="cs-CZ" sz="16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62"/>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A5" activeCellId="0" sqref="A5"/>
    </sheetView>
  </sheetViews>
  <sheetFormatPr defaultColWidth="8.8671875" defaultRowHeight="15.75" zeroHeight="false" outlineLevelRow="0" outlineLevelCol="0"/>
  <cols>
    <col collapsed="false" customWidth="true" hidden="false" outlineLevel="0" max="13" min="1" style="1" width="7.71"/>
    <col collapsed="false" customWidth="false" hidden="false" outlineLevel="0" max="1024" min="14" style="1" width="8.86"/>
  </cols>
  <sheetData>
    <row r="1" customFormat="false" ht="15.75" hidden="false" customHeight="true" outlineLevel="0" collapsed="false"/>
    <row r="2" customFormat="false" ht="15.75" hidden="false" customHeight="true" outlineLevel="0" collapsed="false"/>
    <row r="3" customFormat="false" ht="15.75" hidden="false" customHeight="true" outlineLevel="0" collapsed="false"/>
    <row r="4" customFormat="false" ht="15.75" hidden="false" customHeight="true" outlineLevel="0" collapsed="false">
      <c r="J4" s="2"/>
      <c r="K4" s="2"/>
      <c r="L4" s="3"/>
      <c r="M4" s="3"/>
    </row>
    <row r="5" customFormat="false" ht="15.75" hidden="false" customHeight="true" outlineLevel="0" collapsed="false">
      <c r="A5" s="4" t="s">
        <v>0</v>
      </c>
      <c r="B5" s="4"/>
      <c r="C5" s="4"/>
      <c r="D5" s="4"/>
      <c r="E5" s="4"/>
      <c r="F5" s="4"/>
      <c r="G5" s="4"/>
      <c r="H5" s="4"/>
      <c r="I5" s="4"/>
      <c r="J5" s="4"/>
      <c r="K5" s="5" t="s">
        <v>1</v>
      </c>
      <c r="L5" s="5"/>
      <c r="M5" s="6"/>
    </row>
    <row r="6" customFormat="false" ht="15.75" hidden="false" customHeight="true" outlineLevel="0" collapsed="false">
      <c r="A6" s="4"/>
      <c r="B6" s="4"/>
      <c r="C6" s="4"/>
      <c r="D6" s="4"/>
      <c r="E6" s="4"/>
      <c r="F6" s="4"/>
      <c r="G6" s="4"/>
      <c r="H6" s="4"/>
      <c r="I6" s="4"/>
      <c r="J6" s="4"/>
      <c r="K6" s="7" t="n">
        <v>43406</v>
      </c>
      <c r="L6" s="7"/>
      <c r="M6" s="6"/>
    </row>
    <row r="7" customFormat="false" ht="15.75" hidden="false" customHeight="true" outlineLevel="0" collapsed="false">
      <c r="A7" s="8"/>
      <c r="B7" s="8"/>
      <c r="C7" s="8"/>
      <c r="D7" s="8"/>
      <c r="E7" s="8"/>
      <c r="F7" s="8"/>
      <c r="G7" s="8"/>
      <c r="H7" s="8"/>
      <c r="I7" s="8"/>
      <c r="J7" s="8"/>
      <c r="K7" s="8"/>
      <c r="L7" s="8"/>
      <c r="M7" s="9"/>
    </row>
    <row r="8" customFormat="false" ht="15.75" hidden="false" customHeight="true" outlineLevel="0" collapsed="false">
      <c r="A8" s="10" t="s">
        <v>2</v>
      </c>
      <c r="B8" s="10"/>
      <c r="C8" s="10"/>
      <c r="D8" s="10"/>
      <c r="E8" s="10"/>
      <c r="F8" s="10"/>
      <c r="G8" s="10"/>
      <c r="H8" s="10"/>
      <c r="I8" s="10"/>
      <c r="J8" s="10"/>
      <c r="K8" s="10"/>
      <c r="L8" s="10"/>
      <c r="M8" s="9"/>
    </row>
    <row r="9" customFormat="false" ht="15.75" hidden="false" customHeight="true" outlineLevel="0" collapsed="false">
      <c r="A9" s="11" t="s">
        <v>3</v>
      </c>
      <c r="B9" s="11"/>
      <c r="C9" s="11"/>
      <c r="D9" s="11"/>
      <c r="E9" s="11"/>
      <c r="F9" s="11"/>
      <c r="G9" s="11"/>
      <c r="H9" s="11"/>
      <c r="I9" s="11"/>
      <c r="J9" s="11"/>
      <c r="K9" s="11"/>
      <c r="L9" s="11"/>
    </row>
    <row r="10" customFormat="false" ht="15.75" hidden="false" customHeight="true" outlineLevel="0" collapsed="false">
      <c r="A10" s="11"/>
      <c r="B10" s="11"/>
      <c r="C10" s="11"/>
      <c r="D10" s="11"/>
      <c r="E10" s="11"/>
      <c r="F10" s="11"/>
      <c r="G10" s="11"/>
      <c r="H10" s="11"/>
      <c r="I10" s="11"/>
      <c r="J10" s="11"/>
      <c r="K10" s="11"/>
      <c r="L10" s="11"/>
    </row>
    <row r="11" customFormat="false" ht="15.75" hidden="false" customHeight="true" outlineLevel="0" collapsed="false">
      <c r="A11" s="11"/>
      <c r="B11" s="11"/>
      <c r="C11" s="11"/>
      <c r="D11" s="11"/>
      <c r="E11" s="11"/>
      <c r="F11" s="11"/>
      <c r="G11" s="11"/>
      <c r="H11" s="11"/>
      <c r="I11" s="11"/>
      <c r="J11" s="11"/>
      <c r="K11" s="11"/>
      <c r="L11" s="11"/>
    </row>
    <row r="12" customFormat="false" ht="15.75" hidden="false" customHeight="true" outlineLevel="0" collapsed="false">
      <c r="A12" s="11"/>
      <c r="B12" s="11"/>
      <c r="C12" s="11"/>
      <c r="D12" s="11"/>
      <c r="E12" s="11"/>
      <c r="F12" s="11"/>
      <c r="G12" s="11"/>
      <c r="H12" s="11"/>
      <c r="I12" s="11"/>
      <c r="J12" s="11"/>
      <c r="K12" s="11"/>
      <c r="L12" s="11"/>
    </row>
    <row r="13" customFormat="false" ht="15.75" hidden="false" customHeight="true" outlineLevel="0" collapsed="false">
      <c r="A13" s="12"/>
      <c r="B13" s="12"/>
      <c r="C13" s="12"/>
      <c r="D13" s="12"/>
      <c r="E13" s="12"/>
      <c r="F13" s="12"/>
      <c r="G13" s="12"/>
      <c r="H13" s="12"/>
      <c r="I13" s="12"/>
      <c r="J13" s="12"/>
      <c r="K13" s="12"/>
      <c r="L13" s="12"/>
    </row>
    <row r="14" customFormat="false" ht="15.75" hidden="false" customHeight="true" outlineLevel="0" collapsed="false">
      <c r="A14" s="13" t="s">
        <v>4</v>
      </c>
      <c r="B14" s="13"/>
      <c r="C14" s="13"/>
      <c r="D14" s="13"/>
      <c r="E14" s="13"/>
      <c r="F14" s="13"/>
      <c r="G14" s="13"/>
      <c r="H14" s="13"/>
      <c r="I14" s="13"/>
      <c r="J14" s="13"/>
      <c r="K14" s="13"/>
      <c r="L14" s="13"/>
    </row>
    <row r="15" customFormat="false" ht="15.75" hidden="false" customHeight="true" outlineLevel="0" collapsed="false">
      <c r="A15" s="11" t="s">
        <v>5</v>
      </c>
      <c r="B15" s="11"/>
      <c r="C15" s="11"/>
      <c r="D15" s="11"/>
      <c r="E15" s="11"/>
      <c r="F15" s="11"/>
      <c r="G15" s="11"/>
      <c r="H15" s="11"/>
      <c r="I15" s="11"/>
      <c r="J15" s="11"/>
      <c r="K15" s="11"/>
      <c r="L15" s="11"/>
    </row>
    <row r="16" customFormat="false" ht="15.75" hidden="false" customHeight="true" outlineLevel="0" collapsed="false">
      <c r="A16" s="11"/>
      <c r="B16" s="11"/>
      <c r="C16" s="11"/>
      <c r="D16" s="11"/>
      <c r="E16" s="11"/>
      <c r="F16" s="11"/>
      <c r="G16" s="11"/>
      <c r="H16" s="11"/>
      <c r="I16" s="11"/>
      <c r="J16" s="11"/>
      <c r="K16" s="11"/>
      <c r="L16" s="11"/>
    </row>
    <row r="17" customFormat="false" ht="15.75" hidden="false" customHeight="true" outlineLevel="0" collapsed="false">
      <c r="A17" s="11"/>
      <c r="B17" s="11"/>
      <c r="C17" s="11"/>
      <c r="D17" s="11"/>
      <c r="E17" s="11"/>
      <c r="F17" s="11"/>
      <c r="G17" s="11"/>
      <c r="H17" s="11"/>
      <c r="I17" s="11"/>
      <c r="J17" s="11"/>
      <c r="K17" s="11"/>
      <c r="L17" s="11"/>
    </row>
    <row r="18" customFormat="false" ht="15.75" hidden="false" customHeight="true" outlineLevel="0" collapsed="false">
      <c r="A18" s="11"/>
      <c r="B18" s="11"/>
      <c r="C18" s="11"/>
      <c r="D18" s="11"/>
      <c r="E18" s="11"/>
      <c r="F18" s="11"/>
      <c r="G18" s="11"/>
      <c r="H18" s="11"/>
      <c r="I18" s="11"/>
      <c r="J18" s="11"/>
      <c r="K18" s="11"/>
      <c r="L18" s="11"/>
    </row>
    <row r="19" customFormat="false" ht="15.75" hidden="false" customHeight="true" outlineLevel="0" collapsed="false">
      <c r="A19" s="11"/>
      <c r="B19" s="11"/>
      <c r="C19" s="11"/>
      <c r="D19" s="11"/>
      <c r="E19" s="11"/>
      <c r="F19" s="11"/>
      <c r="G19" s="11"/>
      <c r="H19" s="11"/>
      <c r="I19" s="11"/>
      <c r="J19" s="11"/>
      <c r="K19" s="11"/>
      <c r="L19" s="11"/>
    </row>
    <row r="20" customFormat="false" ht="15.75" hidden="false" customHeight="true" outlineLevel="0" collapsed="false">
      <c r="A20" s="11"/>
      <c r="B20" s="11"/>
      <c r="C20" s="11"/>
      <c r="D20" s="11"/>
      <c r="E20" s="11"/>
      <c r="F20" s="11"/>
      <c r="G20" s="11"/>
      <c r="H20" s="11"/>
      <c r="I20" s="11"/>
      <c r="J20" s="11"/>
      <c r="K20" s="11"/>
      <c r="L20" s="11"/>
    </row>
    <row r="21" customFormat="false" ht="15.75" hidden="false" customHeight="true" outlineLevel="0" collapsed="false">
      <c r="A21" s="11"/>
      <c r="B21" s="11"/>
      <c r="C21" s="11"/>
      <c r="D21" s="11"/>
      <c r="E21" s="11"/>
      <c r="F21" s="11"/>
      <c r="G21" s="11"/>
      <c r="H21" s="11"/>
      <c r="I21" s="11"/>
      <c r="J21" s="11"/>
      <c r="K21" s="11"/>
      <c r="L21" s="11"/>
    </row>
    <row r="22" customFormat="false" ht="15.75" hidden="false" customHeight="true" outlineLevel="0" collapsed="false">
      <c r="A22" s="11"/>
      <c r="B22" s="11"/>
      <c r="C22" s="11"/>
      <c r="D22" s="11"/>
      <c r="E22" s="11"/>
      <c r="F22" s="11"/>
      <c r="G22" s="11"/>
      <c r="H22" s="11"/>
      <c r="I22" s="11"/>
      <c r="J22" s="11"/>
      <c r="K22" s="11"/>
      <c r="L22" s="11"/>
    </row>
    <row r="23" customFormat="false" ht="15.75" hidden="false" customHeight="true" outlineLevel="0" collapsed="false">
      <c r="A23" s="11"/>
      <c r="B23" s="11"/>
      <c r="C23" s="11"/>
      <c r="D23" s="11"/>
      <c r="E23" s="11"/>
      <c r="F23" s="11"/>
      <c r="G23" s="11"/>
      <c r="H23" s="11"/>
      <c r="I23" s="11"/>
      <c r="J23" s="11"/>
      <c r="K23" s="11"/>
      <c r="L23" s="11"/>
    </row>
    <row r="24" customFormat="false" ht="15.75" hidden="false" customHeight="true" outlineLevel="0" collapsed="false">
      <c r="A24" s="11"/>
      <c r="B24" s="11"/>
      <c r="C24" s="11"/>
      <c r="D24" s="11"/>
      <c r="E24" s="11"/>
      <c r="F24" s="11"/>
      <c r="G24" s="11"/>
      <c r="H24" s="11"/>
      <c r="I24" s="11"/>
      <c r="J24" s="11"/>
      <c r="K24" s="11"/>
      <c r="L24" s="11"/>
    </row>
    <row r="25" customFormat="false" ht="15.75" hidden="false" customHeight="true" outlineLevel="0" collapsed="false">
      <c r="A25" s="11"/>
      <c r="B25" s="11"/>
      <c r="C25" s="11"/>
      <c r="D25" s="11"/>
      <c r="E25" s="11"/>
      <c r="F25" s="11"/>
      <c r="G25" s="11"/>
      <c r="H25" s="11"/>
      <c r="I25" s="11"/>
      <c r="J25" s="11"/>
      <c r="K25" s="11"/>
      <c r="L25" s="11"/>
    </row>
    <row r="26" customFormat="false" ht="15.75" hidden="false" customHeight="true" outlineLevel="0" collapsed="false">
      <c r="A26" s="11"/>
      <c r="B26" s="11"/>
      <c r="C26" s="11"/>
      <c r="D26" s="11"/>
      <c r="E26" s="11"/>
      <c r="F26" s="11"/>
      <c r="G26" s="11"/>
      <c r="H26" s="11"/>
      <c r="I26" s="11"/>
      <c r="J26" s="11"/>
      <c r="K26" s="11"/>
      <c r="L26" s="11"/>
    </row>
    <row r="27" customFormat="false" ht="15.75" hidden="false" customHeight="true" outlineLevel="0" collapsed="false">
      <c r="A27" s="11"/>
      <c r="B27" s="11"/>
      <c r="C27" s="11"/>
      <c r="D27" s="11"/>
      <c r="E27" s="11"/>
      <c r="F27" s="11"/>
      <c r="G27" s="11"/>
      <c r="H27" s="11"/>
      <c r="I27" s="11"/>
      <c r="J27" s="11"/>
      <c r="K27" s="11"/>
      <c r="L27" s="11"/>
    </row>
    <row r="28" customFormat="false" ht="15.75" hidden="false" customHeight="true" outlineLevel="0" collapsed="false">
      <c r="A28" s="11"/>
      <c r="B28" s="11"/>
      <c r="C28" s="11"/>
      <c r="D28" s="11"/>
      <c r="E28" s="11"/>
      <c r="F28" s="11"/>
      <c r="G28" s="11"/>
      <c r="H28" s="11"/>
      <c r="I28" s="11"/>
      <c r="J28" s="11"/>
      <c r="K28" s="11"/>
      <c r="L28" s="11"/>
    </row>
    <row r="29" customFormat="false" ht="15.75" hidden="false" customHeight="true" outlineLevel="0" collapsed="false">
      <c r="A29" s="11"/>
      <c r="B29" s="11"/>
      <c r="C29" s="11"/>
      <c r="D29" s="11"/>
      <c r="E29" s="11"/>
      <c r="F29" s="11"/>
      <c r="G29" s="11"/>
      <c r="H29" s="11"/>
      <c r="I29" s="11"/>
      <c r="J29" s="11"/>
      <c r="K29" s="11"/>
      <c r="L29" s="11"/>
    </row>
    <row r="30" customFormat="false" ht="15.75" hidden="false" customHeight="true" outlineLevel="0" collapsed="false">
      <c r="A30" s="11"/>
      <c r="B30" s="11"/>
      <c r="C30" s="11"/>
      <c r="D30" s="11"/>
      <c r="E30" s="11"/>
      <c r="F30" s="11"/>
      <c r="G30" s="11"/>
      <c r="H30" s="11"/>
      <c r="I30" s="11"/>
      <c r="J30" s="11"/>
      <c r="K30" s="11"/>
      <c r="L30" s="11"/>
    </row>
    <row r="31" customFormat="false" ht="15.75" hidden="false" customHeight="true" outlineLevel="0" collapsed="false">
      <c r="A31" s="11"/>
      <c r="B31" s="11"/>
      <c r="C31" s="11"/>
      <c r="D31" s="11"/>
      <c r="E31" s="11"/>
      <c r="F31" s="11"/>
      <c r="G31" s="11"/>
      <c r="H31" s="11"/>
      <c r="I31" s="11"/>
      <c r="J31" s="11"/>
      <c r="K31" s="11"/>
      <c r="L31" s="11"/>
    </row>
    <row r="32" customFormat="false" ht="15.75" hidden="false" customHeight="true" outlineLevel="0" collapsed="false">
      <c r="A32" s="11"/>
      <c r="B32" s="11"/>
      <c r="C32" s="11"/>
      <c r="D32" s="11"/>
      <c r="E32" s="11"/>
      <c r="F32" s="11"/>
      <c r="G32" s="11"/>
      <c r="H32" s="11"/>
      <c r="I32" s="11"/>
      <c r="J32" s="11"/>
      <c r="K32" s="11"/>
      <c r="L32" s="11"/>
    </row>
    <row r="33" customFormat="false" ht="15.75" hidden="false" customHeight="true" outlineLevel="0" collapsed="false">
      <c r="A33" s="11"/>
      <c r="B33" s="11"/>
      <c r="C33" s="11"/>
      <c r="D33" s="11"/>
      <c r="E33" s="11"/>
      <c r="F33" s="11"/>
      <c r="G33" s="11"/>
      <c r="H33" s="11"/>
      <c r="I33" s="11"/>
      <c r="J33" s="11"/>
      <c r="K33" s="11"/>
      <c r="L33" s="11"/>
    </row>
    <row r="34" customFormat="false" ht="15.75" hidden="false" customHeight="true" outlineLevel="0" collapsed="false">
      <c r="A34" s="11"/>
      <c r="B34" s="11"/>
      <c r="C34" s="11"/>
      <c r="D34" s="11"/>
      <c r="E34" s="11"/>
      <c r="F34" s="11"/>
      <c r="G34" s="11"/>
      <c r="H34" s="11"/>
      <c r="I34" s="11"/>
      <c r="J34" s="11"/>
      <c r="K34" s="11"/>
      <c r="L34" s="11"/>
    </row>
    <row r="35" customFormat="false" ht="15.75" hidden="false" customHeight="true" outlineLevel="0" collapsed="false">
      <c r="A35" s="11"/>
      <c r="B35" s="11"/>
      <c r="C35" s="11"/>
      <c r="D35" s="11"/>
      <c r="E35" s="11"/>
      <c r="F35" s="11"/>
      <c r="G35" s="11"/>
      <c r="H35" s="11"/>
      <c r="I35" s="11"/>
      <c r="J35" s="11"/>
      <c r="K35" s="11"/>
      <c r="L35" s="11"/>
    </row>
    <row r="36" customFormat="false" ht="15.75" hidden="false" customHeight="true" outlineLevel="0" collapsed="false">
      <c r="A36" s="11"/>
      <c r="B36" s="11"/>
      <c r="C36" s="11"/>
      <c r="D36" s="11"/>
      <c r="E36" s="11"/>
      <c r="F36" s="11"/>
      <c r="G36" s="11"/>
      <c r="H36" s="11"/>
      <c r="I36" s="11"/>
      <c r="J36" s="11"/>
      <c r="K36" s="11"/>
      <c r="L36" s="11"/>
    </row>
    <row r="37" customFormat="false" ht="15.75" hidden="false" customHeight="true" outlineLevel="0" collapsed="false">
      <c r="A37" s="12"/>
      <c r="B37" s="12"/>
      <c r="C37" s="12"/>
      <c r="D37" s="12"/>
      <c r="E37" s="12"/>
      <c r="F37" s="12"/>
      <c r="G37" s="12"/>
      <c r="H37" s="12"/>
      <c r="I37" s="12"/>
      <c r="J37" s="12"/>
      <c r="K37" s="12"/>
      <c r="L37" s="12"/>
    </row>
    <row r="38" customFormat="false" ht="15.75" hidden="false" customHeight="true" outlineLevel="0" collapsed="false">
      <c r="A38" s="13" t="s">
        <v>6</v>
      </c>
      <c r="B38" s="13"/>
      <c r="C38" s="13"/>
      <c r="D38" s="13"/>
      <c r="E38" s="13"/>
      <c r="F38" s="13"/>
      <c r="G38" s="13"/>
      <c r="H38" s="13"/>
      <c r="I38" s="13"/>
      <c r="J38" s="13"/>
      <c r="K38" s="13"/>
      <c r="L38" s="13"/>
    </row>
    <row r="39" customFormat="false" ht="15.75" hidden="false" customHeight="true" outlineLevel="0" collapsed="false">
      <c r="A39" s="12" t="s">
        <v>7</v>
      </c>
      <c r="B39" s="12"/>
      <c r="C39" s="12"/>
      <c r="D39" s="12"/>
      <c r="E39" s="12"/>
      <c r="F39" s="12"/>
      <c r="G39" s="12"/>
      <c r="H39" s="12"/>
      <c r="I39" s="12"/>
      <c r="J39" s="12"/>
      <c r="K39" s="12"/>
      <c r="L39" s="12"/>
    </row>
    <row r="40" customFormat="false" ht="15.75" hidden="false" customHeight="true" outlineLevel="0" collapsed="false">
      <c r="A40" s="12"/>
      <c r="B40" s="12"/>
      <c r="C40" s="12"/>
      <c r="D40" s="12"/>
      <c r="E40" s="12"/>
      <c r="F40" s="12"/>
      <c r="G40" s="12"/>
      <c r="H40" s="12"/>
      <c r="I40" s="12"/>
      <c r="J40" s="12"/>
      <c r="K40" s="12"/>
      <c r="L40" s="12"/>
    </row>
    <row r="41" customFormat="false" ht="15.75" hidden="false" customHeight="true" outlineLevel="0" collapsed="false">
      <c r="A41" s="12"/>
      <c r="B41" s="12"/>
      <c r="C41" s="12"/>
      <c r="D41" s="12"/>
      <c r="E41" s="12"/>
      <c r="F41" s="12"/>
      <c r="G41" s="12"/>
      <c r="H41" s="12"/>
      <c r="I41" s="12"/>
      <c r="J41" s="12"/>
      <c r="K41" s="12"/>
      <c r="L41" s="12"/>
    </row>
    <row r="42" customFormat="false" ht="15.75" hidden="false" customHeight="true" outlineLevel="0" collapsed="false"/>
    <row r="43" customFormat="false" ht="15.75" hidden="false" customHeight="true" outlineLevel="0" collapsed="false">
      <c r="A43" s="14" t="s">
        <v>8</v>
      </c>
      <c r="B43" s="14"/>
      <c r="C43" s="14"/>
      <c r="D43" s="14"/>
      <c r="E43" s="14"/>
      <c r="F43" s="14"/>
      <c r="G43" s="14"/>
      <c r="H43" s="14"/>
      <c r="I43" s="14"/>
      <c r="J43" s="14"/>
      <c r="K43" s="14"/>
      <c r="L43" s="14"/>
    </row>
    <row r="44" customFormat="false" ht="15.75" hidden="false" customHeight="true" outlineLevel="0" collapsed="false">
      <c r="A44" s="15" t="s">
        <v>9</v>
      </c>
      <c r="B44" s="15"/>
      <c r="C44" s="15"/>
      <c r="D44" s="15"/>
      <c r="E44" s="15"/>
      <c r="F44" s="15"/>
      <c r="G44" s="15"/>
      <c r="H44" s="15"/>
      <c r="I44" s="15"/>
      <c r="J44" s="15"/>
      <c r="K44" s="15"/>
      <c r="L44" s="15"/>
    </row>
    <row r="45" customFormat="false" ht="15.75" hidden="false" customHeight="true" outlineLevel="0" collapsed="false">
      <c r="A45" s="15"/>
      <c r="B45" s="15"/>
      <c r="C45" s="15"/>
      <c r="D45" s="15"/>
      <c r="E45" s="15"/>
      <c r="F45" s="15"/>
      <c r="G45" s="15"/>
      <c r="H45" s="15"/>
      <c r="I45" s="15"/>
      <c r="J45" s="15"/>
      <c r="K45" s="15"/>
      <c r="L45" s="15"/>
    </row>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sheetData>
  <sheetProtection sheet="true" password="89b2" objects="true" scenarios="true"/>
  <mergeCells count="11">
    <mergeCell ref="A5:J6"/>
    <mergeCell ref="K5:L5"/>
    <mergeCell ref="K6:L6"/>
    <mergeCell ref="A8:L8"/>
    <mergeCell ref="A9:L12"/>
    <mergeCell ref="A14:L14"/>
    <mergeCell ref="A15:L36"/>
    <mergeCell ref="A38:L38"/>
    <mergeCell ref="A39:L41"/>
    <mergeCell ref="A43:L43"/>
    <mergeCell ref="A44:L45"/>
  </mergeCells>
  <conditionalFormatting sqref="A7">
    <cfRule type="cellIs" priority="2" operator="notEqual" aboveAverage="0" equalAverage="0" bottom="0" percent="0" rank="0" text="" dxfId="0">
      <formula>"Zadejte název projektu"</formula>
    </cfRule>
  </conditionalFormatting>
  <conditionalFormatting sqref="A8">
    <cfRule type="cellIs" priority="3" operator="notEqual" aboveAverage="0" equalAverage="0" bottom="0" percent="0" rank="0" text="" dxfId="1">
      <formula>"Zadejte název tlumiče"</formula>
    </cfRule>
  </conditionalFormatting>
  <printOptions headings="false" gridLines="false" gridLinesSet="true" horizontalCentered="true" verticalCentered="false"/>
  <pageMargins left="0.590277777777778" right="0.39375" top="0.7875" bottom="0.7875" header="0.511805555555555" footer="0.511805555555555"/>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
    <oddFooter>&amp;LQ199-01, revize 1.0 © Greif-akustika, s.r.o.&amp;R&amp;D | List &amp;P/&amp;N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V124"/>
  <sheetViews>
    <sheetView showFormulas="false" showGridLines="false" showRowColHeaders="true" showZeros="true" rightToLeft="false" tabSelected="true" showOutlineSymbols="true" defaultGridColor="true" view="normal" topLeftCell="A1" colorId="64" zoomScale="120" zoomScaleNormal="120" zoomScalePageLayoutView="100" workbookViewId="0">
      <selection pane="topLeft" activeCell="B12" activeCellId="0" sqref="B12"/>
    </sheetView>
  </sheetViews>
  <sheetFormatPr defaultColWidth="8.8671875" defaultRowHeight="15.75" zeroHeight="false" outlineLevelRow="0" outlineLevelCol="0"/>
  <cols>
    <col collapsed="false" customWidth="true" hidden="false" outlineLevel="0" max="26" min="1" style="1" width="7.71"/>
    <col collapsed="false" customWidth="true" hidden="true" outlineLevel="0" max="30" min="27" style="1" width="7.71"/>
    <col collapsed="false" customWidth="false" hidden="true" outlineLevel="0" max="48" min="31" style="1" width="8.86"/>
    <col collapsed="false" customWidth="false" hidden="false" outlineLevel="0" max="1024" min="49" style="1" width="8.86"/>
  </cols>
  <sheetData>
    <row r="1" customFormat="false" ht="15.75" hidden="false" customHeight="true" outlineLevel="0" collapsed="false">
      <c r="N1" s="14" t="s">
        <v>10</v>
      </c>
      <c r="O1" s="14"/>
      <c r="P1" s="14"/>
      <c r="Q1" s="14"/>
      <c r="R1" s="14"/>
      <c r="S1" s="14"/>
      <c r="T1" s="14"/>
      <c r="U1" s="14"/>
      <c r="V1" s="14"/>
      <c r="W1" s="14"/>
      <c r="X1" s="14"/>
      <c r="Y1" s="14"/>
      <c r="AA1" s="4" t="s">
        <v>11</v>
      </c>
      <c r="AB1" s="4"/>
      <c r="AC1" s="4"/>
      <c r="AD1" s="4"/>
      <c r="AE1" s="4"/>
      <c r="AF1" s="4"/>
      <c r="AG1" s="4"/>
      <c r="AH1" s="4"/>
      <c r="AI1" s="4"/>
      <c r="AJ1" s="4"/>
      <c r="AK1" s="4"/>
      <c r="AL1" s="4"/>
      <c r="AM1" s="4"/>
    </row>
    <row r="2" customFormat="false" ht="15.75" hidden="false" customHeight="true" outlineLevel="0" collapsed="false">
      <c r="N2" s="16"/>
      <c r="O2" s="16"/>
      <c r="P2" s="16"/>
      <c r="Q2" s="16"/>
      <c r="R2" s="16"/>
      <c r="S2" s="16"/>
      <c r="T2" s="16"/>
      <c r="U2" s="16"/>
      <c r="V2" s="16"/>
      <c r="W2" s="16"/>
      <c r="X2" s="16"/>
      <c r="Y2" s="16"/>
      <c r="AA2" s="4"/>
      <c r="AB2" s="4"/>
      <c r="AC2" s="4"/>
      <c r="AD2" s="4"/>
      <c r="AE2" s="4"/>
      <c r="AF2" s="4"/>
      <c r="AG2" s="4"/>
      <c r="AH2" s="4"/>
      <c r="AI2" s="4"/>
      <c r="AJ2" s="4"/>
      <c r="AK2" s="4"/>
      <c r="AL2" s="4"/>
      <c r="AM2" s="4"/>
    </row>
    <row r="3" customFormat="false" ht="15.75" hidden="false" customHeight="true" outlineLevel="0" collapsed="false">
      <c r="N3" s="16"/>
      <c r="O3" s="16"/>
      <c r="P3" s="16"/>
      <c r="Q3" s="16"/>
      <c r="R3" s="16"/>
      <c r="S3" s="16"/>
      <c r="T3" s="16"/>
      <c r="U3" s="16"/>
      <c r="V3" s="16"/>
      <c r="W3" s="16"/>
      <c r="X3" s="16"/>
      <c r="Y3" s="16"/>
    </row>
    <row r="4" customFormat="false" ht="15.75" hidden="false" customHeight="true" outlineLevel="0" collapsed="false">
      <c r="J4" s="2"/>
      <c r="K4" s="2"/>
      <c r="L4" s="3" t="s">
        <v>12</v>
      </c>
      <c r="M4" s="3"/>
      <c r="N4" s="16"/>
      <c r="O4" s="16"/>
      <c r="P4" s="16"/>
      <c r="Q4" s="16"/>
      <c r="R4" s="16"/>
      <c r="S4" s="16"/>
      <c r="T4" s="16"/>
      <c r="U4" s="16"/>
      <c r="V4" s="16"/>
      <c r="W4" s="16"/>
      <c r="X4" s="16"/>
      <c r="Y4" s="16"/>
      <c r="AA4" s="17" t="s">
        <v>13</v>
      </c>
      <c r="AB4" s="17"/>
      <c r="AC4" s="17"/>
      <c r="AE4" s="17" t="s">
        <v>14</v>
      </c>
      <c r="AF4" s="17"/>
      <c r="AG4" s="17"/>
    </row>
    <row r="5" customFormat="false" ht="15.75" hidden="false" customHeight="true" outlineLevel="0" collapsed="false">
      <c r="A5" s="4" t="s">
        <v>0</v>
      </c>
      <c r="B5" s="4"/>
      <c r="C5" s="4"/>
      <c r="D5" s="4"/>
      <c r="E5" s="4"/>
      <c r="F5" s="4"/>
      <c r="G5" s="4"/>
      <c r="H5" s="4"/>
      <c r="I5" s="4"/>
      <c r="J5" s="4"/>
      <c r="K5" s="4"/>
      <c r="L5" s="4"/>
      <c r="M5" s="6"/>
      <c r="N5" s="16"/>
      <c r="O5" s="16"/>
      <c r="P5" s="16"/>
      <c r="Q5" s="16"/>
      <c r="R5" s="16"/>
      <c r="S5" s="16"/>
      <c r="T5" s="16"/>
      <c r="U5" s="16"/>
      <c r="V5" s="16"/>
      <c r="W5" s="16"/>
      <c r="X5" s="16"/>
      <c r="Y5" s="16"/>
      <c r="AA5" s="18" t="s">
        <v>15</v>
      </c>
      <c r="AB5" s="18" t="s">
        <v>16</v>
      </c>
      <c r="AC5" s="18" t="s">
        <v>17</v>
      </c>
      <c r="AE5" s="18" t="s">
        <v>15</v>
      </c>
      <c r="AF5" s="18" t="s">
        <v>16</v>
      </c>
      <c r="AG5" s="18" t="s">
        <v>17</v>
      </c>
    </row>
    <row r="6" customFormat="false" ht="15.75" hidden="false" customHeight="true" outlineLevel="0" collapsed="false">
      <c r="A6" s="4"/>
      <c r="B6" s="4"/>
      <c r="C6" s="4"/>
      <c r="D6" s="4"/>
      <c r="E6" s="4"/>
      <c r="F6" s="4"/>
      <c r="G6" s="4"/>
      <c r="H6" s="4"/>
      <c r="I6" s="4"/>
      <c r="J6" s="4"/>
      <c r="K6" s="4"/>
      <c r="L6" s="4"/>
      <c r="M6" s="6"/>
      <c r="N6" s="16"/>
      <c r="O6" s="16"/>
      <c r="P6" s="16"/>
      <c r="Q6" s="16"/>
      <c r="R6" s="16"/>
      <c r="S6" s="16"/>
      <c r="T6" s="16"/>
      <c r="U6" s="16"/>
      <c r="V6" s="16"/>
      <c r="W6" s="16"/>
      <c r="X6" s="16"/>
      <c r="Y6" s="16"/>
      <c r="AA6" s="19" t="s">
        <v>18</v>
      </c>
      <c r="AB6" s="19" t="n">
        <v>200</v>
      </c>
      <c r="AC6" s="19" t="n">
        <v>60</v>
      </c>
      <c r="AE6" s="20" t="str">
        <f aca="false">CONCATENATE("=",B16)</f>
        <v>=G</v>
      </c>
      <c r="AF6" s="20" t="n">
        <f aca="false">B17</f>
        <v>200</v>
      </c>
      <c r="AG6" s="21" t="n">
        <f aca="false">IF(ISERR(DGET(AA5:AC18,"Stěna",AE5:AF6)),"",DGET(AA5:AC18,"Stěna",AE5:AF6))</f>
        <v>60</v>
      </c>
    </row>
    <row r="7" customFormat="false" ht="15.75" hidden="false" customHeight="true" outlineLevel="0" collapsed="false">
      <c r="A7" s="22" t="s">
        <v>19</v>
      </c>
      <c r="B7" s="22"/>
      <c r="C7" s="22"/>
      <c r="D7" s="22"/>
      <c r="E7" s="22"/>
      <c r="F7" s="22"/>
      <c r="G7" s="22"/>
      <c r="H7" s="22"/>
      <c r="I7" s="22"/>
      <c r="J7" s="22"/>
      <c r="K7" s="22"/>
      <c r="L7" s="22"/>
      <c r="M7" s="9"/>
      <c r="N7" s="16"/>
      <c r="O7" s="16"/>
      <c r="P7" s="16"/>
      <c r="Q7" s="16"/>
      <c r="R7" s="16"/>
      <c r="S7" s="16"/>
      <c r="T7" s="16"/>
      <c r="U7" s="16"/>
      <c r="V7" s="16"/>
      <c r="W7" s="16"/>
      <c r="X7" s="16"/>
      <c r="Y7" s="16"/>
      <c r="AA7" s="19" t="s">
        <v>18</v>
      </c>
      <c r="AB7" s="19" t="n">
        <v>250</v>
      </c>
      <c r="AC7" s="19" t="n">
        <v>80</v>
      </c>
      <c r="AF7" s="19" t="s">
        <v>20</v>
      </c>
      <c r="AG7" s="19" t="n">
        <f aca="false">IF(AG6="",0,1)</f>
        <v>1</v>
      </c>
    </row>
    <row r="8" customFormat="false" ht="15.75" hidden="false" customHeight="true" outlineLevel="0" collapsed="false">
      <c r="A8" s="22" t="s">
        <v>21</v>
      </c>
      <c r="B8" s="22"/>
      <c r="C8" s="22"/>
      <c r="D8" s="22"/>
      <c r="E8" s="22"/>
      <c r="F8" s="22"/>
      <c r="G8" s="22"/>
      <c r="H8" s="22"/>
      <c r="I8" s="22"/>
      <c r="J8" s="22"/>
      <c r="K8" s="22"/>
      <c r="L8" s="22"/>
      <c r="M8" s="9"/>
      <c r="N8" s="16"/>
      <c r="O8" s="16"/>
      <c r="P8" s="16"/>
      <c r="Q8" s="16"/>
      <c r="R8" s="16"/>
      <c r="S8" s="16"/>
      <c r="T8" s="16"/>
      <c r="U8" s="16"/>
      <c r="V8" s="16"/>
      <c r="W8" s="16"/>
      <c r="X8" s="16"/>
      <c r="Y8" s="16"/>
      <c r="AA8" s="19" t="s">
        <v>18</v>
      </c>
      <c r="AB8" s="19" t="n">
        <v>300</v>
      </c>
      <c r="AC8" s="19" t="n">
        <v>100</v>
      </c>
    </row>
    <row r="9" customFormat="false" ht="15.75" hidden="false" customHeight="true" outlineLevel="0" collapsed="false">
      <c r="A9" s="23"/>
      <c r="B9" s="23"/>
      <c r="C9" s="23"/>
      <c r="D9" s="23"/>
      <c r="E9" s="23"/>
      <c r="F9" s="23"/>
      <c r="G9" s="23"/>
      <c r="H9" s="23"/>
      <c r="I9" s="23"/>
      <c r="AA9" s="19" t="s">
        <v>18</v>
      </c>
      <c r="AB9" s="19" t="n">
        <v>400</v>
      </c>
      <c r="AC9" s="19" t="n">
        <v>100</v>
      </c>
    </row>
    <row r="10" customFormat="false" ht="15.75" hidden="false" customHeight="true" outlineLevel="0" collapsed="false">
      <c r="A10" s="24" t="s">
        <v>22</v>
      </c>
      <c r="B10" s="24"/>
      <c r="C10" s="24"/>
      <c r="D10" s="25" t="str">
        <f aca="false">IF(L37=1,"","Zadejte správné hodnoty, nebo vyberte sériově vyráběný element...")</f>
        <v/>
      </c>
      <c r="E10" s="25"/>
      <c r="F10" s="25"/>
      <c r="G10" s="25"/>
      <c r="H10" s="25"/>
      <c r="I10" s="25"/>
      <c r="J10" s="25"/>
      <c r="K10" s="25"/>
      <c r="L10" s="25"/>
      <c r="N10" s="26" t="s">
        <v>23</v>
      </c>
      <c r="O10" s="26"/>
      <c r="P10" s="26"/>
      <c r="Q10" s="26"/>
      <c r="R10" s="19" t="s">
        <v>24</v>
      </c>
      <c r="S10" s="19"/>
      <c r="T10" s="19"/>
      <c r="U10" s="19"/>
      <c r="V10" s="19"/>
      <c r="W10" s="19"/>
      <c r="X10" s="19"/>
      <c r="Y10" s="27" t="s">
        <v>25</v>
      </c>
      <c r="AA10" s="19" t="s">
        <v>18</v>
      </c>
      <c r="AB10" s="19" t="n">
        <v>500</v>
      </c>
      <c r="AC10" s="19" t="n">
        <v>120</v>
      </c>
    </row>
    <row r="11" customFormat="false" ht="15.75" hidden="false" customHeight="true" outlineLevel="0" collapsed="false">
      <c r="A11" s="28" t="s">
        <v>26</v>
      </c>
      <c r="B11" s="29" t="s">
        <v>27</v>
      </c>
      <c r="C11" s="29"/>
      <c r="D11" s="29"/>
      <c r="E11" s="29"/>
      <c r="F11" s="29"/>
      <c r="G11" s="29"/>
      <c r="H11" s="29"/>
      <c r="I11" s="30"/>
      <c r="J11" s="30"/>
      <c r="K11" s="31" t="n">
        <f aca="false">IF(OR(B27&gt;25,$L$37=0),"",(B30*B23/2*B24^2)*(1+B22))</f>
        <v>77.1243467529791</v>
      </c>
      <c r="L11" s="31"/>
      <c r="N11" s="18" t="s">
        <v>28</v>
      </c>
      <c r="O11" s="19" t="s">
        <v>29</v>
      </c>
      <c r="P11" s="19" t="n">
        <v>31.5</v>
      </c>
      <c r="Q11" s="19" t="n">
        <v>63</v>
      </c>
      <c r="R11" s="19" t="n">
        <v>125</v>
      </c>
      <c r="S11" s="19" t="n">
        <v>250</v>
      </c>
      <c r="T11" s="19" t="n">
        <v>500</v>
      </c>
      <c r="U11" s="19" t="n">
        <v>1000</v>
      </c>
      <c r="V11" s="19" t="n">
        <v>2000</v>
      </c>
      <c r="W11" s="19" t="n">
        <v>4000</v>
      </c>
      <c r="X11" s="19" t="n">
        <v>8000</v>
      </c>
      <c r="Y11" s="18" t="s">
        <v>30</v>
      </c>
      <c r="AA11" s="19" t="s">
        <v>31</v>
      </c>
      <c r="AB11" s="19" t="n">
        <v>200</v>
      </c>
      <c r="AC11" s="19" t="n">
        <v>50</v>
      </c>
    </row>
    <row r="12" customFormat="false" ht="15.75" hidden="false" customHeight="true" outlineLevel="0" collapsed="false">
      <c r="A12" s="32" t="s">
        <v>32</v>
      </c>
      <c r="B12" s="33" t="n">
        <v>25000</v>
      </c>
      <c r="C12" s="33"/>
      <c r="D12" s="34" t="s">
        <v>33</v>
      </c>
      <c r="E12" s="35" t="s">
        <v>34</v>
      </c>
      <c r="F12" s="35"/>
      <c r="G12" s="35"/>
      <c r="H12" s="35"/>
      <c r="I12" s="35"/>
      <c r="J12" s="35"/>
      <c r="K12" s="35"/>
      <c r="L12" s="36" t="n">
        <f aca="false">IF(B12&lt;=0,0,1)</f>
        <v>1</v>
      </c>
      <c r="N12" s="37" t="str">
        <f aca="false">IF($Y$10="L","LWZ-Lin",IF($Y$10="A","LWZ-A",""))</f>
        <v>LWZ-Lin</v>
      </c>
      <c r="O12" s="19" t="s">
        <v>35</v>
      </c>
      <c r="P12" s="38" t="n">
        <v>75</v>
      </c>
      <c r="Q12" s="38" t="n">
        <v>90</v>
      </c>
      <c r="R12" s="38" t="n">
        <v>100</v>
      </c>
      <c r="S12" s="38" t="n">
        <v>103</v>
      </c>
      <c r="T12" s="38" t="n">
        <v>99</v>
      </c>
      <c r="U12" s="38" t="n">
        <v>94</v>
      </c>
      <c r="V12" s="38" t="n">
        <v>84</v>
      </c>
      <c r="W12" s="38" t="n">
        <v>78</v>
      </c>
      <c r="X12" s="38" t="n">
        <v>74</v>
      </c>
      <c r="Y12" s="39" t="n">
        <f aca="false">AL27</f>
        <v>99.8882394922718</v>
      </c>
      <c r="AA12" s="19" t="s">
        <v>31</v>
      </c>
      <c r="AB12" s="19" t="n">
        <v>250</v>
      </c>
      <c r="AC12" s="19" t="n">
        <v>80</v>
      </c>
    </row>
    <row r="13" customFormat="false" ht="15.75" hidden="false" customHeight="true" outlineLevel="0" collapsed="false">
      <c r="A13" s="18" t="s">
        <v>36</v>
      </c>
      <c r="B13" s="40" t="n">
        <v>1600</v>
      </c>
      <c r="C13" s="40"/>
      <c r="D13" s="19" t="s">
        <v>37</v>
      </c>
      <c r="E13" s="41" t="s">
        <v>38</v>
      </c>
      <c r="F13" s="41"/>
      <c r="G13" s="41"/>
      <c r="H13" s="41"/>
      <c r="I13" s="41"/>
      <c r="J13" s="41"/>
      <c r="K13" s="42" t="n">
        <f aca="false">IF($B$17=0,0,IF($B$13/$B$17=1,0,1))</f>
        <v>1</v>
      </c>
      <c r="L13" s="43" t="n">
        <f aca="false">IF($B$17=0,0,IF($B$13/$B$17=ROUND($B$13/$B$17,0),1,0))</f>
        <v>1</v>
      </c>
      <c r="N13" s="18" t="s">
        <v>39</v>
      </c>
      <c r="O13" s="19" t="s">
        <v>35</v>
      </c>
      <c r="P13" s="44" t="n">
        <f aca="false">C45</f>
        <v>8</v>
      </c>
      <c r="Q13" s="44" t="n">
        <f aca="false">D45</f>
        <v>9</v>
      </c>
      <c r="R13" s="44" t="n">
        <f aca="false">E45</f>
        <v>15</v>
      </c>
      <c r="S13" s="44" t="n">
        <f aca="false">F45</f>
        <v>28</v>
      </c>
      <c r="T13" s="44" t="n">
        <f aca="false">G45</f>
        <v>43</v>
      </c>
      <c r="U13" s="44" t="n">
        <f aca="false">H45</f>
        <v>48</v>
      </c>
      <c r="V13" s="44" t="n">
        <f aca="false">I45</f>
        <v>46</v>
      </c>
      <c r="W13" s="44" t="n">
        <f aca="false">J45</f>
        <v>40</v>
      </c>
      <c r="X13" s="44" t="n">
        <f aca="false">K45</f>
        <v>30</v>
      </c>
      <c r="Y13" s="19" t="s">
        <v>40</v>
      </c>
      <c r="AA13" s="19" t="s">
        <v>31</v>
      </c>
      <c r="AB13" s="19" t="n">
        <v>300</v>
      </c>
      <c r="AC13" s="19" t="n">
        <v>100</v>
      </c>
    </row>
    <row r="14" customFormat="false" ht="15.75" hidden="false" customHeight="true" outlineLevel="0" collapsed="false">
      <c r="A14" s="18" t="s">
        <v>41</v>
      </c>
      <c r="B14" s="40" t="n">
        <v>1000</v>
      </c>
      <c r="C14" s="40"/>
      <c r="D14" s="19" t="s">
        <v>37</v>
      </c>
      <c r="E14" s="35" t="s">
        <v>42</v>
      </c>
      <c r="F14" s="35"/>
      <c r="G14" s="35"/>
      <c r="H14" s="35"/>
      <c r="I14" s="35"/>
      <c r="J14" s="35"/>
      <c r="K14" s="35"/>
      <c r="L14" s="43" t="n">
        <f aca="false">IF(B14&lt;=0,0,1)</f>
        <v>1</v>
      </c>
      <c r="N14" s="37" t="str">
        <f aca="false">IF($Y$10="L","LWT-Lin",IF($Y$10="A","LWT-A",""))</f>
        <v>LWT-Lin</v>
      </c>
      <c r="O14" s="19" t="s">
        <v>35</v>
      </c>
      <c r="P14" s="45" t="n">
        <f aca="false">IF($L$37=0,"",IF($Y$10="L",AC29,IF($Y$10="A",AC30,"")))</f>
        <v>57.4518573118461</v>
      </c>
      <c r="Q14" s="45" t="n">
        <f aca="false">IF($L$37=0,"",IF($Y$10="L",AD29,IF($Y$10="A",AD30,"")))</f>
        <v>52.3153362812426</v>
      </c>
      <c r="R14" s="45" t="n">
        <f aca="false">IF($L$37=0,"",IF($Y$10="L",AE29,IF($Y$10="A",AE30,"")))</f>
        <v>48.6355103977703</v>
      </c>
      <c r="S14" s="45" t="n">
        <f aca="false">IF($L$37=0,"",IF($Y$10="L",AF29,IF($Y$10="A",AF30,"")))</f>
        <v>46.3610451256664</v>
      </c>
      <c r="T14" s="45" t="n">
        <f aca="false">IF($L$37=0,"",IF($Y$10="L",AG29,IF($Y$10="A",AG30,"")))</f>
        <v>43.988527554493</v>
      </c>
      <c r="U14" s="45" t="n">
        <f aca="false">IF($L$37=0,"",IF($Y$10="L",AH29,IF($Y$10="A",AH30,"")))</f>
        <v>40.080999182803</v>
      </c>
      <c r="V14" s="45" t="n">
        <f aca="false">IF($L$37=0,"",IF($Y$10="L",AI29,IF($Y$10="A",AI30,"")))</f>
        <v>34.8353090479629</v>
      </c>
      <c r="W14" s="45" t="n">
        <f aca="false">IF($L$37=0,"",IF($Y$10="L",AJ29,IF($Y$10="A",AJ30,"")))</f>
        <v>29.0345537406036</v>
      </c>
      <c r="X14" s="45" t="n">
        <f aca="false">IF($L$37=0,"",IF($Y$10="L",AK29,IF($Y$10="A",AK30,"")))</f>
        <v>23.0708529976497</v>
      </c>
      <c r="Y14" s="39" t="n">
        <f aca="false">IF($L$37=0,"",$AL$30)</f>
        <v>45.5139529834893</v>
      </c>
      <c r="AA14" s="19" t="s">
        <v>43</v>
      </c>
      <c r="AB14" s="19" t="n">
        <v>200</v>
      </c>
      <c r="AC14" s="19" t="n">
        <v>60</v>
      </c>
    </row>
    <row r="15" customFormat="false" ht="15.75" hidden="false" customHeight="true" outlineLevel="0" collapsed="false">
      <c r="A15" s="18" t="s">
        <v>25</v>
      </c>
      <c r="B15" s="40" t="n">
        <v>2000</v>
      </c>
      <c r="C15" s="40"/>
      <c r="D15" s="19" t="s">
        <v>37</v>
      </c>
      <c r="E15" s="35" t="s">
        <v>44</v>
      </c>
      <c r="F15" s="35"/>
      <c r="G15" s="35"/>
      <c r="H15" s="35"/>
      <c r="I15" s="35"/>
      <c r="J15" s="35"/>
      <c r="K15" s="35"/>
      <c r="L15" s="43" t="n">
        <f aca="false">IF(OR(B15=1000,B15=1500,B15=2000),1,0)</f>
        <v>1</v>
      </c>
      <c r="N15" s="18" t="s">
        <v>45</v>
      </c>
      <c r="O15" s="19" t="s">
        <v>35</v>
      </c>
      <c r="P15" s="38" t="n">
        <v>0</v>
      </c>
      <c r="Q15" s="38" t="n">
        <v>0</v>
      </c>
      <c r="R15" s="38" t="n">
        <v>0</v>
      </c>
      <c r="S15" s="38" t="n">
        <v>0</v>
      </c>
      <c r="T15" s="38" t="n">
        <v>0</v>
      </c>
      <c r="U15" s="38" t="n">
        <v>0</v>
      </c>
      <c r="V15" s="38" t="n">
        <v>0</v>
      </c>
      <c r="W15" s="38" t="n">
        <v>0</v>
      </c>
      <c r="X15" s="38" t="n">
        <v>0</v>
      </c>
      <c r="Y15" s="19" t="s">
        <v>40</v>
      </c>
      <c r="AA15" s="19" t="s">
        <v>43</v>
      </c>
      <c r="AB15" s="19" t="n">
        <v>250</v>
      </c>
      <c r="AC15" s="19" t="n">
        <v>80</v>
      </c>
    </row>
    <row r="16" customFormat="false" ht="15.75" hidden="false" customHeight="true" outlineLevel="0" collapsed="false">
      <c r="A16" s="18" t="s">
        <v>46</v>
      </c>
      <c r="B16" s="40" t="s">
        <v>18</v>
      </c>
      <c r="C16" s="40"/>
      <c r="D16" s="19" t="s">
        <v>40</v>
      </c>
      <c r="E16" s="35" t="s">
        <v>47</v>
      </c>
      <c r="F16" s="35"/>
      <c r="G16" s="35"/>
      <c r="H16" s="35"/>
      <c r="I16" s="35"/>
      <c r="J16" s="35"/>
      <c r="K16" s="35"/>
      <c r="L16" s="43" t="n">
        <f aca="false">IF(OR(B16="G",B16="GE",B16="GH"),1,0)</f>
        <v>1</v>
      </c>
      <c r="N16" s="37" t="str">
        <f aca="false">IF($Y$10="L","LWC-Lin",IF($Y$10="A","LWC-A",""))</f>
        <v>LWC-Lin</v>
      </c>
      <c r="O16" s="19" t="s">
        <v>35</v>
      </c>
      <c r="P16" s="45" t="n">
        <f aca="false">IF($L$37=0,"",IF($Y$10="L",AC32,IF($Y$10="A",AC33,"")))</f>
        <v>67.4570034848427</v>
      </c>
      <c r="Q16" s="45" t="n">
        <f aca="false">IF($L$37=0,"",IF($Y$10="L",AD32,IF($Y$10="A",AD33,"")))</f>
        <v>81.0058752201585</v>
      </c>
      <c r="R16" s="45" t="n">
        <f aca="false">IF($L$37=0,"",IF($Y$10="L",AE32,IF($Y$10="A",AE33,"")))</f>
        <v>85.0010029636698</v>
      </c>
      <c r="S16" s="45" t="n">
        <f aca="false">IF($L$37=0,"",IF($Y$10="L",AF32,IF($Y$10="A",AF33,"")))</f>
        <v>75.0059373400501</v>
      </c>
      <c r="T16" s="45" t="n">
        <f aca="false">IF($L$37=0,"",IF($Y$10="L",AG32,IF($Y$10="A",AG33,"")))</f>
        <v>56.2650437008104</v>
      </c>
      <c r="U16" s="45" t="n">
        <f aca="false">IF($L$37=0,"",IF($Y$10="L",AH32,IF($Y$10="A",AH33,"")))</f>
        <v>46.9896109844738</v>
      </c>
      <c r="V16" s="45" t="n">
        <f aca="false">IF($L$37=0,"",IF($Y$10="L",AI32,IF($Y$10="A",AI33,"")))</f>
        <v>39.710056337101</v>
      </c>
      <c r="W16" s="45" t="n">
        <f aca="false">IF($L$37=0,"",IF($Y$10="L",AJ32,IF($Y$10="A",AJ33,"")))</f>
        <v>38.5188467530437</v>
      </c>
      <c r="X16" s="45" t="n">
        <f aca="false">IF($L$37=0,"",IF($Y$10="L",AK32,IF($Y$10="A",AK33,"")))</f>
        <v>44.0349238607457</v>
      </c>
      <c r="Y16" s="39" t="n">
        <f aca="false">IF($L$37=0,"",$AL$33)</f>
        <v>71.0489362044072</v>
      </c>
      <c r="AA16" s="19" t="s">
        <v>43</v>
      </c>
      <c r="AB16" s="19" t="n">
        <v>300</v>
      </c>
      <c r="AC16" s="19" t="n">
        <v>100</v>
      </c>
    </row>
    <row r="17" customFormat="false" ht="15.75" hidden="false" customHeight="true" outlineLevel="0" collapsed="false">
      <c r="A17" s="18" t="s">
        <v>48</v>
      </c>
      <c r="B17" s="40" t="n">
        <v>200</v>
      </c>
      <c r="C17" s="40"/>
      <c r="D17" s="19" t="s">
        <v>37</v>
      </c>
      <c r="E17" s="35" t="s">
        <v>49</v>
      </c>
      <c r="F17" s="35"/>
      <c r="G17" s="35" t="s">
        <v>50</v>
      </c>
      <c r="H17" s="35"/>
      <c r="I17" s="35"/>
      <c r="J17" s="35"/>
      <c r="K17" s="35"/>
      <c r="L17" s="36" t="n">
        <f aca="false">IF(OR(B17=200,B17=250,B17=300,B17=400,B17=500),1,0)</f>
        <v>1</v>
      </c>
      <c r="N17" s="46" t="s">
        <v>51</v>
      </c>
      <c r="O17" s="19" t="s">
        <v>35</v>
      </c>
      <c r="P17" s="45" t="n">
        <f aca="false">IF($L$37=0,"",AC34)</f>
        <v>7.54299651515733</v>
      </c>
      <c r="Q17" s="45" t="n">
        <f aca="false">IF($L$37=0,"",AD34)</f>
        <v>8.99412477984149</v>
      </c>
      <c r="R17" s="45" t="n">
        <f aca="false">IF($L$37=0,"",AE34)</f>
        <v>14.9989970363302</v>
      </c>
      <c r="S17" s="45" t="n">
        <f aca="false">IF($L$37=0,"",AF34)</f>
        <v>27.9940626599499</v>
      </c>
      <c r="T17" s="45" t="n">
        <f aca="false">IF($L$37=0,"",AG34)</f>
        <v>42.7349562991896</v>
      </c>
      <c r="U17" s="45" t="n">
        <f aca="false">IF($L$37=0,"",AH34)</f>
        <v>47.0103890155262</v>
      </c>
      <c r="V17" s="45" t="n">
        <f aca="false">IF($L$37=0,"",AI34)</f>
        <v>44.289943662899</v>
      </c>
      <c r="W17" s="45" t="n">
        <f aca="false">IF($L$37=0,"",AJ34)</f>
        <v>39.4811532469563</v>
      </c>
      <c r="X17" s="45" t="n">
        <f aca="false">IF($L$37=0,"",AK34)</f>
        <v>29.9650761392543</v>
      </c>
      <c r="Y17" s="47" t="n">
        <f aca="false">IF(OR($L$37=0,$Y$16="&lt;20",$Y$12="&lt;20"),"",$Y$12-$Y$16)</f>
        <v>28.8393032878646</v>
      </c>
      <c r="AA17" s="19" t="s">
        <v>43</v>
      </c>
      <c r="AB17" s="19" t="n">
        <v>400</v>
      </c>
      <c r="AC17" s="19" t="n">
        <v>100</v>
      </c>
    </row>
    <row r="18" customFormat="false" ht="15.75" hidden="false" customHeight="true" outlineLevel="0" collapsed="false">
      <c r="A18" s="18" t="s">
        <v>52</v>
      </c>
      <c r="B18" s="48" t="n">
        <v>0.1</v>
      </c>
      <c r="C18" s="48"/>
      <c r="D18" s="19" t="s">
        <v>40</v>
      </c>
      <c r="E18" s="35" t="s">
        <v>53</v>
      </c>
      <c r="F18" s="35"/>
      <c r="G18" s="35"/>
      <c r="H18" s="35"/>
      <c r="I18" s="35"/>
      <c r="J18" s="35"/>
      <c r="K18" s="35"/>
      <c r="L18" s="36" t="n">
        <f aca="false">IF(OR(B18=1,B18=0.1),1,0)</f>
        <v>1</v>
      </c>
      <c r="N18" s="49"/>
      <c r="O18" s="49"/>
      <c r="P18" s="49"/>
      <c r="Q18" s="49"/>
      <c r="R18" s="49"/>
      <c r="S18" s="49"/>
      <c r="T18" s="49"/>
      <c r="U18" s="49"/>
      <c r="V18" s="49"/>
      <c r="W18" s="49"/>
      <c r="X18" s="49"/>
      <c r="Y18" s="49"/>
      <c r="AA18" s="19" t="s">
        <v>43</v>
      </c>
      <c r="AB18" s="19" t="n">
        <v>500</v>
      </c>
      <c r="AC18" s="19" t="n">
        <v>120</v>
      </c>
      <c r="AO18" s="50"/>
    </row>
    <row r="19" customFormat="false" ht="15.75" hidden="false" customHeight="true" outlineLevel="0" collapsed="false">
      <c r="A19" s="18" t="s">
        <v>54</v>
      </c>
      <c r="B19" s="48" t="n">
        <v>0.7</v>
      </c>
      <c r="C19" s="48"/>
      <c r="D19" s="19" t="s">
        <v>40</v>
      </c>
      <c r="E19" s="35" t="s">
        <v>55</v>
      </c>
      <c r="F19" s="35"/>
      <c r="G19" s="35"/>
      <c r="H19" s="35"/>
      <c r="I19" s="35"/>
      <c r="J19" s="35"/>
      <c r="K19" s="35"/>
      <c r="L19" s="36" t="n">
        <f aca="false">IF(OR(B19=1,B19=0.7),1,0)</f>
        <v>1</v>
      </c>
      <c r="N19" s="14" t="s">
        <v>56</v>
      </c>
      <c r="O19" s="14"/>
      <c r="P19" s="14"/>
      <c r="Q19" s="14"/>
      <c r="R19" s="14"/>
      <c r="S19" s="14"/>
      <c r="T19" s="14"/>
      <c r="U19" s="14"/>
      <c r="V19" s="14"/>
      <c r="W19" s="14"/>
      <c r="X19" s="14"/>
      <c r="Y19" s="14"/>
    </row>
    <row r="20" customFormat="false" ht="15.75" hidden="false" customHeight="true" outlineLevel="0" collapsed="false">
      <c r="A20" s="18" t="s">
        <v>57</v>
      </c>
      <c r="B20" s="38" t="n">
        <v>20</v>
      </c>
      <c r="C20" s="38"/>
      <c r="D20" s="19" t="s">
        <v>58</v>
      </c>
      <c r="E20" s="35" t="s">
        <v>59</v>
      </c>
      <c r="F20" s="35"/>
      <c r="G20" s="35"/>
      <c r="H20" s="35"/>
      <c r="I20" s="35"/>
      <c r="J20" s="35"/>
      <c r="K20" s="35"/>
      <c r="L20" s="36" t="n">
        <f aca="false">IF(OR(B20&lt;-50,B20&gt;200),0,1)</f>
        <v>1</v>
      </c>
      <c r="N20" s="51"/>
      <c r="O20" s="52"/>
      <c r="P20" s="52"/>
      <c r="Q20" s="52"/>
      <c r="R20" s="52"/>
      <c r="S20" s="52"/>
      <c r="T20" s="52"/>
      <c r="U20" s="52"/>
      <c r="V20" s="52"/>
      <c r="W20" s="52"/>
      <c r="X20" s="52"/>
      <c r="Y20" s="53"/>
      <c r="AA20" s="17" t="s">
        <v>60</v>
      </c>
      <c r="AB20" s="17"/>
      <c r="AC20" s="17"/>
    </row>
    <row r="21" customFormat="false" ht="15.75" hidden="false" customHeight="true" outlineLevel="0" collapsed="false">
      <c r="A21" s="18" t="s">
        <v>61</v>
      </c>
      <c r="B21" s="40" t="n">
        <v>101325</v>
      </c>
      <c r="C21" s="40"/>
      <c r="D21" s="19" t="s">
        <v>62</v>
      </c>
      <c r="E21" s="35" t="s">
        <v>63</v>
      </c>
      <c r="F21" s="35"/>
      <c r="G21" s="35"/>
      <c r="H21" s="35"/>
      <c r="I21" s="35"/>
      <c r="J21" s="35"/>
      <c r="K21" s="35"/>
      <c r="L21" s="36" t="n">
        <f aca="false">IF(OR(B21&lt;98000,B21&gt;110000),0,1)</f>
        <v>1</v>
      </c>
      <c r="N21" s="54"/>
      <c r="O21" s="16"/>
      <c r="P21" s="16"/>
      <c r="Q21" s="16"/>
      <c r="R21" s="16"/>
      <c r="S21" s="16"/>
      <c r="T21" s="16"/>
      <c r="U21" s="16"/>
      <c r="V21" s="16"/>
      <c r="W21" s="16"/>
      <c r="X21" s="16"/>
      <c r="Y21" s="55"/>
      <c r="AA21" s="18" t="s">
        <v>28</v>
      </c>
      <c r="AB21" s="19" t="s">
        <v>29</v>
      </c>
      <c r="AC21" s="18" t="n">
        <v>31.5</v>
      </c>
      <c r="AD21" s="18" t="n">
        <v>63</v>
      </c>
      <c r="AE21" s="18" t="n">
        <v>125</v>
      </c>
      <c r="AF21" s="18" t="n">
        <v>250</v>
      </c>
      <c r="AG21" s="18" t="n">
        <v>500</v>
      </c>
      <c r="AH21" s="18" t="n">
        <v>1000</v>
      </c>
      <c r="AI21" s="18" t="n">
        <v>2000</v>
      </c>
      <c r="AJ21" s="18" t="n">
        <v>4000</v>
      </c>
      <c r="AK21" s="18" t="n">
        <v>8000</v>
      </c>
      <c r="AL21" s="56"/>
    </row>
    <row r="22" customFormat="false" ht="15.75" hidden="false" customHeight="true" outlineLevel="0" collapsed="false">
      <c r="A22" s="18" t="s">
        <v>64</v>
      </c>
      <c r="B22" s="57" t="n">
        <v>0.2</v>
      </c>
      <c r="C22" s="57"/>
      <c r="D22" s="19" t="s">
        <v>65</v>
      </c>
      <c r="E22" s="35" t="s">
        <v>66</v>
      </c>
      <c r="F22" s="35"/>
      <c r="G22" s="35"/>
      <c r="H22" s="35"/>
      <c r="I22" s="35"/>
      <c r="J22" s="35"/>
      <c r="K22" s="35"/>
      <c r="L22" s="36" t="n">
        <f aca="false">IF(B22&lt;0,0,1)</f>
        <v>1</v>
      </c>
      <c r="N22" s="54"/>
      <c r="O22" s="16"/>
      <c r="P22" s="16"/>
      <c r="Q22" s="16"/>
      <c r="R22" s="16"/>
      <c r="S22" s="16"/>
      <c r="T22" s="16"/>
      <c r="U22" s="16"/>
      <c r="V22" s="16"/>
      <c r="W22" s="16"/>
      <c r="X22" s="16"/>
      <c r="Y22" s="55"/>
      <c r="AA22" s="18" t="s">
        <v>30</v>
      </c>
      <c r="AB22" s="19" t="s">
        <v>35</v>
      </c>
      <c r="AC22" s="45" t="n">
        <v>-39.4</v>
      </c>
      <c r="AD22" s="45" t="n">
        <v>-26.2</v>
      </c>
      <c r="AE22" s="45" t="n">
        <v>-16.1</v>
      </c>
      <c r="AF22" s="45" t="n">
        <v>-8.6</v>
      </c>
      <c r="AG22" s="45" t="n">
        <v>-3.2</v>
      </c>
      <c r="AH22" s="45" t="n">
        <v>0</v>
      </c>
      <c r="AI22" s="45" t="n">
        <v>1.2</v>
      </c>
      <c r="AJ22" s="45" t="n">
        <v>1</v>
      </c>
      <c r="AK22" s="45" t="n">
        <v>-1.1</v>
      </c>
      <c r="AL22" s="58"/>
    </row>
    <row r="23" customFormat="false" ht="15.75" hidden="false" customHeight="true" outlineLevel="0" collapsed="false">
      <c r="A23" s="18" t="s">
        <v>67</v>
      </c>
      <c r="B23" s="59" t="n">
        <f aca="false">IF($L$37=0,"",$B$21/(287.15*(273.15+$B$20)))</f>
        <v>1.20369898211852</v>
      </c>
      <c r="C23" s="59"/>
      <c r="D23" s="60" t="s">
        <v>68</v>
      </c>
      <c r="E23" s="35" t="s">
        <v>69</v>
      </c>
      <c r="F23" s="35"/>
      <c r="G23" s="35"/>
      <c r="H23" s="35"/>
      <c r="I23" s="35"/>
      <c r="J23" s="35"/>
      <c r="K23" s="35"/>
      <c r="L23" s="36"/>
      <c r="N23" s="54"/>
      <c r="O23" s="16"/>
      <c r="P23" s="16"/>
      <c r="Q23" s="16"/>
      <c r="R23" s="16"/>
      <c r="S23" s="16"/>
      <c r="T23" s="16"/>
      <c r="U23" s="16"/>
      <c r="V23" s="16"/>
      <c r="W23" s="16"/>
      <c r="X23" s="16"/>
      <c r="Y23" s="55"/>
    </row>
    <row r="24" customFormat="false" ht="15.75" hidden="false" customHeight="true" outlineLevel="0" collapsed="false">
      <c r="A24" s="18" t="s">
        <v>70</v>
      </c>
      <c r="B24" s="59" t="n">
        <f aca="false">IF($L$37=0,"",$B$12/3600/($B$13*$B$14/1000000))</f>
        <v>4.34027777777778</v>
      </c>
      <c r="C24" s="59"/>
      <c r="D24" s="19" t="s">
        <v>71</v>
      </c>
      <c r="E24" s="35" t="s">
        <v>72</v>
      </c>
      <c r="F24" s="35"/>
      <c r="G24" s="35"/>
      <c r="H24" s="35"/>
      <c r="I24" s="35"/>
      <c r="J24" s="35"/>
      <c r="K24" s="35"/>
      <c r="L24" s="36"/>
      <c r="N24" s="54"/>
      <c r="O24" s="16"/>
      <c r="P24" s="16"/>
      <c r="Q24" s="16"/>
      <c r="R24" s="16"/>
      <c r="S24" s="16"/>
      <c r="T24" s="16"/>
      <c r="U24" s="16"/>
      <c r="V24" s="16"/>
      <c r="W24" s="16"/>
      <c r="X24" s="16"/>
      <c r="Y24" s="55"/>
      <c r="AA24" s="17" t="s">
        <v>73</v>
      </c>
      <c r="AB24" s="17"/>
      <c r="AC24" s="17"/>
    </row>
    <row r="25" customFormat="false" ht="15.75" hidden="false" customHeight="true" outlineLevel="0" collapsed="false">
      <c r="A25" s="18" t="s">
        <v>74</v>
      </c>
      <c r="B25" s="61" t="n">
        <f aca="false">IF(OR($L$37=0,$B$17=0),"",$B$13/$B$17)</f>
        <v>8</v>
      </c>
      <c r="C25" s="61"/>
      <c r="D25" s="19" t="s">
        <v>75</v>
      </c>
      <c r="E25" s="35" t="s">
        <v>76</v>
      </c>
      <c r="F25" s="35"/>
      <c r="G25" s="35"/>
      <c r="H25" s="35"/>
      <c r="I25" s="35"/>
      <c r="J25" s="35"/>
      <c r="K25" s="35"/>
      <c r="L25" s="36"/>
      <c r="N25" s="54"/>
      <c r="O25" s="16"/>
      <c r="P25" s="16"/>
      <c r="Q25" s="16"/>
      <c r="R25" s="16"/>
      <c r="S25" s="16"/>
      <c r="T25" s="16"/>
      <c r="U25" s="16"/>
      <c r="V25" s="16"/>
      <c r="W25" s="16"/>
      <c r="X25" s="16"/>
      <c r="Y25" s="55"/>
      <c r="AA25" s="18" t="s">
        <v>28</v>
      </c>
      <c r="AB25" s="19" t="s">
        <v>29</v>
      </c>
      <c r="AC25" s="18" t="n">
        <v>31.5</v>
      </c>
      <c r="AD25" s="18" t="n">
        <v>63</v>
      </c>
      <c r="AE25" s="18" t="n">
        <v>125</v>
      </c>
      <c r="AF25" s="18" t="n">
        <v>250</v>
      </c>
      <c r="AG25" s="18" t="n">
        <v>500</v>
      </c>
      <c r="AH25" s="18" t="n">
        <v>1000</v>
      </c>
      <c r="AI25" s="18" t="n">
        <v>2000</v>
      </c>
      <c r="AJ25" s="18" t="n">
        <v>4000</v>
      </c>
      <c r="AK25" s="18" t="n">
        <v>8000</v>
      </c>
      <c r="AL25" s="18" t="s">
        <v>77</v>
      </c>
    </row>
    <row r="26" customFormat="false" ht="15.75" hidden="false" customHeight="true" outlineLevel="0" collapsed="false">
      <c r="A26" s="18" t="s">
        <v>78</v>
      </c>
      <c r="B26" s="61" t="n">
        <f aca="false">IF($L$37=0,"",$B$17-2*$AG$6)</f>
        <v>80</v>
      </c>
      <c r="C26" s="61"/>
      <c r="D26" s="19" t="s">
        <v>37</v>
      </c>
      <c r="E26" s="35" t="s">
        <v>79</v>
      </c>
      <c r="F26" s="35"/>
      <c r="G26" s="35"/>
      <c r="H26" s="35"/>
      <c r="I26" s="35"/>
      <c r="J26" s="35"/>
      <c r="K26" s="35"/>
      <c r="L26" s="43"/>
      <c r="N26" s="54"/>
      <c r="O26" s="16"/>
      <c r="P26" s="16"/>
      <c r="Q26" s="16"/>
      <c r="R26" s="16"/>
      <c r="S26" s="16"/>
      <c r="T26" s="16"/>
      <c r="U26" s="16"/>
      <c r="V26" s="16"/>
      <c r="W26" s="16"/>
      <c r="X26" s="16"/>
      <c r="Y26" s="55"/>
      <c r="AA26" s="19" t="s">
        <v>80</v>
      </c>
      <c r="AB26" s="19" t="s">
        <v>35</v>
      </c>
      <c r="AC26" s="45" t="n">
        <f aca="false">IF($Y$10="L",P12,IF($Y$10="A",IF((P12-AC22)&lt;0,0,P12-AC22)))</f>
        <v>75</v>
      </c>
      <c r="AD26" s="45" t="n">
        <f aca="false">IF($Y$10="L",Q12,IF($Y$10="A",IF((Q12-AD22)&lt;0,0,Q12-AD22)))</f>
        <v>90</v>
      </c>
      <c r="AE26" s="45" t="n">
        <f aca="false">IF($Y$10="L",R12,IF($Y$10="A",IF((R12-AE22)&lt;0,0,R12-AE22)))</f>
        <v>100</v>
      </c>
      <c r="AF26" s="45" t="n">
        <f aca="false">IF($Y$10="L",S12,IF($Y$10="A",IF((S12-AF22)&lt;0,0,S12-AF22)))</f>
        <v>103</v>
      </c>
      <c r="AG26" s="45" t="n">
        <f aca="false">IF($Y$10="L",T12,IF($Y$10="A",IF((T12-AG22)&lt;0,0,T12-AG22)))</f>
        <v>99</v>
      </c>
      <c r="AH26" s="45" t="n">
        <f aca="false">IF($Y$10="L",U12,IF($Y$10="A",IF((U12-AH22)&lt;0,0,U12-AH22)))</f>
        <v>94</v>
      </c>
      <c r="AI26" s="45" t="n">
        <f aca="false">IF($Y$10="L",V12,IF($Y$10="A",IF((V12-AI22)&lt;0,0,V12-AI22)))</f>
        <v>84</v>
      </c>
      <c r="AJ26" s="45" t="n">
        <f aca="false">IF($Y$10="L",W12,IF($Y$10="A",IF((W12-AJ22)&lt;0,0,W12-AJ22)))</f>
        <v>78</v>
      </c>
      <c r="AK26" s="45" t="n">
        <f aca="false">IF($Y$10="L",X12,IF($Y$10="A",IF((X12-AK22)&lt;0,0,X12-AK22)))</f>
        <v>74</v>
      </c>
      <c r="AL26" s="62" t="n">
        <f aca="false">IF(10*LOG10((10^(AC26/10))+(10^(AD26/10))+(10^(AE26/10))+(10^(AF26/10))+(10^(AG26/10))+(10^(AH26/10))+(10^(AI26/10))+(10^(AJ26/10))+(10^(AK26/10)))&lt;20,"&lt;20",10*LOG10((10^(AC26/10))+(10^(AD26/10))+(10^(AE26/10))+(10^(AF26/10))+(10^(AG26/10))+(10^(AH26/10))+(10^(AI26/10))+(10^(AJ26/10))+(10^(AK26/10))))</f>
        <v>106.209561482729</v>
      </c>
    </row>
    <row r="27" customFormat="false" ht="15.75" hidden="false" customHeight="true" outlineLevel="0" collapsed="false">
      <c r="A27" s="18" t="s">
        <v>81</v>
      </c>
      <c r="B27" s="59" t="n">
        <f aca="false">IF($L$37=0,"",($B$12/3600)/($B$26/1000*$B$14/1000*$B$25))</f>
        <v>10.8506944444444</v>
      </c>
      <c r="C27" s="59"/>
      <c r="D27" s="19" t="s">
        <v>71</v>
      </c>
      <c r="E27" s="35" t="str">
        <f aca="false">IF(AND(B27&gt;25,L37&lt;&gt;0),"rychlost proudění překračuje 25 m/s","rychlost proudění uvnitř v tlumiči")</f>
        <v>rychlost proudění uvnitř v tlumiči</v>
      </c>
      <c r="F27" s="35"/>
      <c r="G27" s="35"/>
      <c r="H27" s="35"/>
      <c r="I27" s="35"/>
      <c r="J27" s="35"/>
      <c r="K27" s="35"/>
      <c r="L27" s="43"/>
      <c r="N27" s="54"/>
      <c r="O27" s="16"/>
      <c r="P27" s="16"/>
      <c r="Q27" s="16"/>
      <c r="R27" s="16"/>
      <c r="S27" s="16"/>
      <c r="T27" s="16"/>
      <c r="U27" s="16"/>
      <c r="V27" s="16"/>
      <c r="W27" s="16"/>
      <c r="X27" s="16"/>
      <c r="Y27" s="55"/>
      <c r="AA27" s="19" t="s">
        <v>82</v>
      </c>
      <c r="AB27" s="19" t="s">
        <v>83</v>
      </c>
      <c r="AC27" s="45" t="n">
        <f aca="false">IF($Y$10="A",P12,IF($Y$10="L",IF((P12+AC22)&lt;0,0,P12+AC22)))</f>
        <v>35.6</v>
      </c>
      <c r="AD27" s="45" t="n">
        <f aca="false">IF($Y$10="A",Q12,IF($Y$10="L",IF((Q12+AD22)&lt;0,0,Q12+AD22)))</f>
        <v>63.8</v>
      </c>
      <c r="AE27" s="45" t="n">
        <f aca="false">IF($Y$10="A",R12,IF($Y$10="L",IF((R12+AE22)&lt;0,0,R12+AE22)))</f>
        <v>83.9</v>
      </c>
      <c r="AF27" s="45" t="n">
        <f aca="false">IF($Y$10="A",S12,IF($Y$10="L",IF((S12+AF22)&lt;0,0,S12+AF22)))</f>
        <v>94.4</v>
      </c>
      <c r="AG27" s="45" t="n">
        <f aca="false">IF($Y$10="A",T12,IF($Y$10="L",IF((T12+AG22)&lt;0,0,T12+AG22)))</f>
        <v>95.8</v>
      </c>
      <c r="AH27" s="45" t="n">
        <f aca="false">IF($Y$10="A",U12,IF($Y$10="L",IF((U12+AH22)&lt;0,0,U12+AH22)))</f>
        <v>94</v>
      </c>
      <c r="AI27" s="45" t="n">
        <f aca="false">IF($Y$10="A",V12,IF($Y$10="L",IF((V12+AI22)&lt;0,0,V12+AI22)))</f>
        <v>85.2</v>
      </c>
      <c r="AJ27" s="45" t="n">
        <f aca="false">IF($Y$10="A",W12,IF($Y$10="L",IF((W12+AJ22)&lt;0,0,W12+AJ22)))</f>
        <v>79</v>
      </c>
      <c r="AK27" s="45" t="n">
        <f aca="false">IF($Y$10="A",X12,IF($Y$10="L",IF((X12+AK22)&lt;0,0,X12+AK22)))</f>
        <v>72.9</v>
      </c>
      <c r="AL27" s="62" t="n">
        <f aca="false">IF(10*LOG10((10^(AC27/10))+(10^(AD27/10))+(10^(AE27/10))+(10^(AF27/10))+(10^(AG27/10))+(10^(AH27/10))+(10^(AI27/10))+(10^(AJ27/10))+(10^(AK27/10)))&lt;20,"&lt;20",10*LOG10((10^(AC27/10))+(10^(AD27/10))+(10^(AE27/10))+(10^(AF27/10))+(10^(AG27/10))+(10^(AH27/10))+(10^(AI27/10))+(10^(AJ27/10))+(10^(AK27/10))))</f>
        <v>99.8882394922718</v>
      </c>
    </row>
    <row r="28" customFormat="false" ht="15.75" hidden="false" customHeight="true" outlineLevel="0" collapsed="false">
      <c r="A28" s="18" t="s">
        <v>84</v>
      </c>
      <c r="B28" s="59" t="n">
        <f aca="false">IF($L$37=0,"",(($B$17-$B$26)/$B$26)^2*(0.5*$B$18*($B$26/($B$17-$B$26)+1)+$B$19))</f>
        <v>1.7625</v>
      </c>
      <c r="C28" s="59"/>
      <c r="D28" s="19" t="s">
        <v>40</v>
      </c>
      <c r="E28" s="35" t="s">
        <v>85</v>
      </c>
      <c r="F28" s="35"/>
      <c r="G28" s="35"/>
      <c r="H28" s="35"/>
      <c r="I28" s="35"/>
      <c r="J28" s="35"/>
      <c r="K28" s="35"/>
      <c r="L28" s="43"/>
      <c r="N28" s="54"/>
      <c r="O28" s="16"/>
      <c r="P28" s="16"/>
      <c r="Q28" s="16"/>
      <c r="R28" s="16"/>
      <c r="S28" s="16"/>
      <c r="T28" s="16"/>
      <c r="U28" s="16"/>
      <c r="V28" s="16"/>
      <c r="W28" s="16"/>
      <c r="X28" s="16"/>
      <c r="Y28" s="55"/>
      <c r="AA28" s="19" t="s">
        <v>86</v>
      </c>
      <c r="AB28" s="19" t="s">
        <v>35</v>
      </c>
      <c r="AC28" s="63" t="n">
        <f aca="false">IF(OR($L$37=0,ISERR(DGET(AA37:AQ61,"31,5",AS37:AU38))),0,DGET(AA37:AQ61,"31,5",AS37:AU38))</f>
        <v>8</v>
      </c>
      <c r="AD28" s="63" t="n">
        <f aca="false">IF(OR($L$37=0,ISERR(DGET(AA37:AQ61,"63",AS37:AU38))),0,DGET(AA37:AQ61,"63",AS37:AU38))</f>
        <v>9</v>
      </c>
      <c r="AE28" s="63" t="n">
        <f aca="false">IF(OR($L$37=0,ISERR(DGET(AA37:AQ61,"125",AS37:AU38))),0,DGET(AA37:AQ61,"125",AS37:AU38))</f>
        <v>15</v>
      </c>
      <c r="AF28" s="63" t="n">
        <f aca="false">IF(OR($L$37=0,ISERR(DGET(AA37:AQ61,"250",AS37:AU38))),0,DGET(AA37:AQ61,"250",AS37:AU38))</f>
        <v>28</v>
      </c>
      <c r="AG28" s="63" t="n">
        <f aca="false">IF(OR($L$37=0,ISERR(DGET(AA37:AQ61,"500",AS37:AU38))),0,DGET(AA37:AQ61,"500",AS37:AU38))</f>
        <v>43</v>
      </c>
      <c r="AH28" s="63" t="n">
        <f aca="false">IF(OR($L$37=0,ISERR(DGET(AA37:AQ61,"1000",AS37:AU38))),0,DGET(AA37:AQ61,"1000",AS37:AU38))</f>
        <v>48</v>
      </c>
      <c r="AI28" s="63" t="n">
        <f aca="false">IF(OR($L$37=0,ISERR(DGET(AA37:AQ61,"2000",AS37:AU38))),0,DGET(AA37:AQ61,"2000",AS37:AU38))</f>
        <v>46</v>
      </c>
      <c r="AJ28" s="63" t="n">
        <f aca="false">IF(OR($L$37=0,ISERR(DGET(AA37:AQ61,"4000",AS37:AU38))),0,DGET(AA37:AQ61,"4000",AS37:AU38))</f>
        <v>40</v>
      </c>
      <c r="AK28" s="63" t="n">
        <f aca="false">IF(OR($L$37=0,ISERR(DGET(AA37:AQ61,"8000",AS37:AU38))),0,DGET(AA37:AQ61,"8000",AS37:AU38))</f>
        <v>30</v>
      </c>
      <c r="AL28" s="19" t="s">
        <v>40</v>
      </c>
    </row>
    <row r="29" customFormat="false" ht="15.75" hidden="false" customHeight="true" outlineLevel="0" collapsed="false">
      <c r="A29" s="18" t="s">
        <v>87</v>
      </c>
      <c r="B29" s="59" t="n">
        <f aca="false">IF($L$37=0,"",0.025*$B$15/$B$26*(1+($B$17-$B$26)/$B$26)^2)</f>
        <v>3.90625</v>
      </c>
      <c r="C29" s="59"/>
      <c r="D29" s="19" t="s">
        <v>40</v>
      </c>
      <c r="E29" s="35" t="s">
        <v>88</v>
      </c>
      <c r="F29" s="35"/>
      <c r="G29" s="35"/>
      <c r="H29" s="35"/>
      <c r="I29" s="35"/>
      <c r="J29" s="35"/>
      <c r="K29" s="35"/>
      <c r="L29" s="43"/>
      <c r="N29" s="54"/>
      <c r="O29" s="16"/>
      <c r="P29" s="16"/>
      <c r="Q29" s="16"/>
      <c r="R29" s="16"/>
      <c r="S29" s="16"/>
      <c r="T29" s="16"/>
      <c r="U29" s="16"/>
      <c r="V29" s="16"/>
      <c r="W29" s="16"/>
      <c r="X29" s="16"/>
      <c r="Y29" s="55"/>
      <c r="AA29" s="19" t="s">
        <v>89</v>
      </c>
      <c r="AB29" s="19" t="s">
        <v>35</v>
      </c>
      <c r="AC29" s="45" t="n">
        <f aca="false">IF($L$37=0,0,IF($B$37+(10*LOG10($B$21*$B$31*$B$33/$B$36)+60*LOG10($B$32)+10*LOG10(1+($B$31/(2*AC25*$B$34))^2)-10*LOG10(1+(AC25*$B$35/$B$27)^2))&lt;0,0,$B$37+(10*LOG10($B$21*$B$31*$B$33/$B$36)+60*LOG10($B$32)+10*LOG10(1+($B$31/(2*AC25*$B$34))^2)-10*LOG10(1+(AC25*$B$35/$B$27)^2))))</f>
        <v>57.4518573118461</v>
      </c>
      <c r="AD29" s="45" t="n">
        <f aca="false">IF($L$37=0,0,IF($B$37+(10*LOG10($B$21*$B$31*$B$33/$B$36)+60*LOG10($B$32)+10*LOG10(1+($B$31/(2*AD25*$B$34))^2)-10*LOG10(1+(AD25*$B$35/$B$27)^2))&lt;0,0,$B$37+(10*LOG10($B$21*$B$31*$B$33/$B$36)+60*LOG10($B$32)+10*LOG10(1+($B$31/(2*AD25*$B$34))^2)-10*LOG10(1+(AD25*$B$35/$B$27)^2))))</f>
        <v>52.3153362812426</v>
      </c>
      <c r="AE29" s="45" t="n">
        <f aca="false">IF($L$37=0,0,IF($B$37+(10*LOG10($B$21*$B$31*$B$33/$B$36)+60*LOG10($B$32)+10*LOG10(1+($B$31/(2*AE25*$B$34))^2)-10*LOG10(1+(AE25*$B$35/$B$27)^2))&lt;0,0,$B$37+(10*LOG10($B$21*$B$31*$B$33/$B$36)+60*LOG10($B$32)+10*LOG10(1+($B$31/(2*AE25*$B$34))^2)-10*LOG10(1+(AE25*$B$35/$B$27)^2))))</f>
        <v>48.6355103977703</v>
      </c>
      <c r="AF29" s="45" t="n">
        <f aca="false">IF($L$37=0,0,IF($B$37+(10*LOG10($B$21*$B$31*$B$33/$B$36)+60*LOG10($B$32)+10*LOG10(1+($B$31/(2*AF25*$B$34))^2)-10*LOG10(1+(AF25*$B$35/$B$27)^2))&lt;0,0,$B$37+(10*LOG10($B$21*$B$31*$B$33/$B$36)+60*LOG10($B$32)+10*LOG10(1+($B$31/(2*AF25*$B$34))^2)-10*LOG10(1+(AF25*$B$35/$B$27)^2))))</f>
        <v>46.3610451256664</v>
      </c>
      <c r="AG29" s="45" t="n">
        <f aca="false">IF($L$37=0,0,IF($B$37+(10*LOG10($B$21*$B$31*$B$33/$B$36)+60*LOG10($B$32)+10*LOG10(1+($B$31/(2*AG25*$B$34))^2)-10*LOG10(1+(AG25*$B$35/$B$27)^2))&lt;0,0,$B$37+(10*LOG10($B$21*$B$31*$B$33/$B$36)+60*LOG10($B$32)+10*LOG10(1+($B$31/(2*AG25*$B$34))^2)-10*LOG10(1+(AG25*$B$35/$B$27)^2))))</f>
        <v>43.988527554493</v>
      </c>
      <c r="AH29" s="45" t="n">
        <f aca="false">IF($L$37=0,0,IF($B$37+(10*LOG10($B$21*$B$31*$B$33/$B$36)+60*LOG10($B$32)+10*LOG10(1+($B$31/(2*AH25*$B$34))^2)-10*LOG10(1+(AH25*$B$35/$B$27)^2))&lt;0,0,$B$37+(10*LOG10($B$21*$B$31*$B$33/$B$36)+60*LOG10($B$32)+10*LOG10(1+($B$31/(2*AH25*$B$34))^2)-10*LOG10(1+(AH25*$B$35/$B$27)^2))))</f>
        <v>40.080999182803</v>
      </c>
      <c r="AI29" s="45" t="n">
        <f aca="false">IF($L$37=0,0,IF($B$37+(10*LOG10($B$21*$B$31*$B$33/$B$36)+60*LOG10($B$32)+10*LOG10(1+($B$31/(2*AI25*$B$34))^2)-10*LOG10(1+(AI25*$B$35/$B$27)^2))&lt;0,0,$B$37+(10*LOG10($B$21*$B$31*$B$33/$B$36)+60*LOG10($B$32)+10*LOG10(1+($B$31/(2*AI25*$B$34))^2)-10*LOG10(1+(AI25*$B$35/$B$27)^2))))</f>
        <v>34.8353090479629</v>
      </c>
      <c r="AJ29" s="45" t="n">
        <f aca="false">IF($L$37=0,0,IF($B$37+(10*LOG10($B$21*$B$31*$B$33/$B$36)+60*LOG10($B$32)+10*LOG10(1+($B$31/(2*AJ25*$B$34))^2)-10*LOG10(1+(AJ25*$B$35/$B$27)^2))&lt;0,0,$B$37+(10*LOG10($B$21*$B$31*$B$33/$B$36)+60*LOG10($B$32)+10*LOG10(1+($B$31/(2*AJ25*$B$34))^2)-10*LOG10(1+(AJ25*$B$35/$B$27)^2))))</f>
        <v>29.0345537406036</v>
      </c>
      <c r="AK29" s="45" t="n">
        <f aca="false">IF($L$37=0,0,IF($B$37+(10*LOG10($B$21*$B$31*$B$33/$B$36)+60*LOG10($B$32)+10*LOG10(1+($B$31/(2*AK25*$B$34))^2)-10*LOG10(1+(AK25*$B$35/$B$27)^2))&lt;0,0,$B$37+(10*LOG10($B$21*$B$31*$B$33/$B$36)+60*LOG10($B$32)+10*LOG10(1+($B$31/(2*AK25*$B$34))^2)-10*LOG10(1+(AK25*$B$35/$B$27)^2))))</f>
        <v>23.0708529976497</v>
      </c>
      <c r="AL29" s="62" t="n">
        <f aca="false">IF(10*LOG10((10^(AC29/10))+(10^(AD29/10))+(10^(AE29/10))+(10^(AF29/10))+(10^(AG29/10))+(10^(AH29/10))+(10^(AI29/10))+(10^(AJ29/10))+(10^(AK29/10)))&lt;20,"&lt;20",10*LOG10((10^(AC29/10))+(10^(AD29/10))+(10^(AE29/10))+(10^(AF29/10))+(10^(AG29/10))+(10^(AH29/10))+(10^(AI29/10))+(10^(AJ29/10))+(10^(AK29/10))))</f>
        <v>59.4554552674826</v>
      </c>
    </row>
    <row r="30" customFormat="false" ht="15.75" hidden="false" customHeight="true" outlineLevel="0" collapsed="false">
      <c r="A30" s="18" t="s">
        <v>90</v>
      </c>
      <c r="B30" s="59" t="n">
        <f aca="false">IF($L$37=0,"",$B$28+$B$29)</f>
        <v>5.66875</v>
      </c>
      <c r="C30" s="59"/>
      <c r="D30" s="19" t="s">
        <v>40</v>
      </c>
      <c r="E30" s="35" t="s">
        <v>91</v>
      </c>
      <c r="F30" s="35"/>
      <c r="G30" s="35"/>
      <c r="H30" s="35"/>
      <c r="I30" s="35"/>
      <c r="J30" s="35"/>
      <c r="K30" s="35"/>
      <c r="L30" s="43"/>
      <c r="N30" s="54"/>
      <c r="O30" s="16"/>
      <c r="P30" s="16"/>
      <c r="Q30" s="16"/>
      <c r="R30" s="16"/>
      <c r="S30" s="16"/>
      <c r="T30" s="16"/>
      <c r="U30" s="16"/>
      <c r="V30" s="16"/>
      <c r="W30" s="16"/>
      <c r="X30" s="16"/>
      <c r="Y30" s="55"/>
      <c r="AA30" s="19" t="s">
        <v>92</v>
      </c>
      <c r="AB30" s="19" t="s">
        <v>83</v>
      </c>
      <c r="AC30" s="45" t="n">
        <f aca="false">IF($L$37=0,0,IF((AC29+AC22)&lt;0,0,AC29+AC22))</f>
        <v>18.0518573118461</v>
      </c>
      <c r="AD30" s="45" t="n">
        <f aca="false">IF($L$37=0,0,IF((AD29+AD22)&lt;0,0,AD29+AD22))</f>
        <v>26.1153362812426</v>
      </c>
      <c r="AE30" s="45" t="n">
        <f aca="false">IF($L$37=0,0,IF((AE29+AE22)&lt;0,0,AE29+AE22))</f>
        <v>32.5355103977703</v>
      </c>
      <c r="AF30" s="45" t="n">
        <f aca="false">IF($L$37=0,0,IF((AF29+AF22)&lt;0,0,AF29+AF22))</f>
        <v>37.7610451256664</v>
      </c>
      <c r="AG30" s="45" t="n">
        <f aca="false">IF($L$37=0,0,IF((AG29+AG22)&lt;0,0,AG29+AG22))</f>
        <v>40.788527554493</v>
      </c>
      <c r="AH30" s="45" t="n">
        <f aca="false">IF($L$37=0,0,IF((AH29+AH22)&lt;0,0,AH29+AH22))</f>
        <v>40.080999182803</v>
      </c>
      <c r="AI30" s="45" t="n">
        <f aca="false">IF($L$37=0,0,IF((AI29+AI22)&lt;0,0,AI29+AI22))</f>
        <v>36.0353090479629</v>
      </c>
      <c r="AJ30" s="45" t="n">
        <f aca="false">IF($L$37=0,0,IF((AJ29+AJ22)&lt;0,0,AJ29+AJ22))</f>
        <v>30.0345537406036</v>
      </c>
      <c r="AK30" s="45" t="n">
        <f aca="false">IF($L$37=0,0,IF((AK29+AK22)&lt;0,0,AK29+AK22))</f>
        <v>21.9708529976497</v>
      </c>
      <c r="AL30" s="62" t="n">
        <f aca="false">IF(10*LOG10((10^(AC30/10))+(10^(AD30/10))+(10^(AE30/10))+(10^(AF30/10))+(10^(AG30/10))+(10^(AH30/10))+(10^(AI30/10))+(10^(AJ30/10))+(10^(AK30/10)))&lt;20,"&lt;20",10*LOG10((10^(AC30/10))+(10^(AD30/10))+(10^(AE30/10))+(10^(AF30/10))+(10^(AG30/10))+(10^(AH30/10))+(10^(AI30/10))+(10^(AJ30/10))+(10^(AK30/10))))</f>
        <v>45.5139529834893</v>
      </c>
    </row>
    <row r="31" customFormat="false" ht="15.75" hidden="false" customHeight="true" outlineLevel="0" collapsed="false">
      <c r="A31" s="18" t="s">
        <v>93</v>
      </c>
      <c r="B31" s="59" t="n">
        <f aca="false">IF($L$37=0,"",(1.4*287.15*(273.15+$B$20))^0.5)</f>
        <v>343.291758566966</v>
      </c>
      <c r="C31" s="59"/>
      <c r="D31" s="19" t="s">
        <v>71</v>
      </c>
      <c r="E31" s="35" t="s">
        <v>94</v>
      </c>
      <c r="F31" s="35"/>
      <c r="G31" s="35"/>
      <c r="H31" s="35"/>
      <c r="I31" s="35"/>
      <c r="J31" s="35"/>
      <c r="K31" s="35"/>
      <c r="L31" s="43"/>
      <c r="N31" s="54"/>
      <c r="O31" s="16"/>
      <c r="P31" s="16"/>
      <c r="Q31" s="16"/>
      <c r="R31" s="16"/>
      <c r="S31" s="16"/>
      <c r="T31" s="16"/>
      <c r="U31" s="16"/>
      <c r="V31" s="16"/>
      <c r="W31" s="16"/>
      <c r="X31" s="16"/>
      <c r="Y31" s="55"/>
      <c r="AA31" s="19" t="s">
        <v>95</v>
      </c>
      <c r="AB31" s="19" t="s">
        <v>35</v>
      </c>
      <c r="AC31" s="45" t="n">
        <f aca="false">P15</f>
        <v>0</v>
      </c>
      <c r="AD31" s="45" t="n">
        <f aca="false">Q15</f>
        <v>0</v>
      </c>
      <c r="AE31" s="45" t="n">
        <f aca="false">R15</f>
        <v>0</v>
      </c>
      <c r="AF31" s="45" t="n">
        <f aca="false">S15</f>
        <v>0</v>
      </c>
      <c r="AG31" s="45" t="n">
        <f aca="false">T15</f>
        <v>0</v>
      </c>
      <c r="AH31" s="45" t="n">
        <f aca="false">U15</f>
        <v>0</v>
      </c>
      <c r="AI31" s="45" t="n">
        <f aca="false">V15</f>
        <v>0</v>
      </c>
      <c r="AJ31" s="45" t="n">
        <f aca="false">W15</f>
        <v>0</v>
      </c>
      <c r="AK31" s="45" t="n">
        <f aca="false">X15</f>
        <v>0</v>
      </c>
      <c r="AL31" s="19" t="s">
        <v>40</v>
      </c>
    </row>
    <row r="32" customFormat="false" ht="15.75" hidden="false" customHeight="true" outlineLevel="0" collapsed="false">
      <c r="A32" s="18" t="s">
        <v>96</v>
      </c>
      <c r="B32" s="59" t="n">
        <f aca="false">IF($L$37=0,"",$B$27/$B$31)</f>
        <v>0.0316077918378801</v>
      </c>
      <c r="C32" s="59"/>
      <c r="D32" s="19" t="s">
        <v>40</v>
      </c>
      <c r="E32" s="35" t="s">
        <v>97</v>
      </c>
      <c r="F32" s="35"/>
      <c r="G32" s="35"/>
      <c r="H32" s="35"/>
      <c r="I32" s="35"/>
      <c r="J32" s="35"/>
      <c r="K32" s="35"/>
      <c r="L32" s="43"/>
      <c r="N32" s="54"/>
      <c r="O32" s="16"/>
      <c r="P32" s="16"/>
      <c r="Q32" s="16"/>
      <c r="R32" s="16"/>
      <c r="S32" s="16"/>
      <c r="T32" s="16"/>
      <c r="U32" s="16"/>
      <c r="V32" s="16"/>
      <c r="W32" s="16"/>
      <c r="X32" s="16"/>
      <c r="Y32" s="55"/>
      <c r="AA32" s="19" t="s">
        <v>98</v>
      </c>
      <c r="AB32" s="19" t="s">
        <v>35</v>
      </c>
      <c r="AC32" s="45" t="n">
        <f aca="false">IF($L$37=0,0,IF(10*LOG10(10^((AC26-AC28-AC31)/10)+10^(AC29/10))&lt;0,0,10*LOG10(10^((AC26-AC28-AC31)/10)+10^(AC29/10))))</f>
        <v>67.4570034848427</v>
      </c>
      <c r="AD32" s="45" t="n">
        <f aca="false">IF($L$37=0,0,IF(10*LOG10(10^((AD26-AD28-AD31)/10)+10^(AD29/10))&lt;0,0,10*LOG10(10^((AD26-AD28-AD31)/10)+10^(AD29/10))))</f>
        <v>81.0058752201585</v>
      </c>
      <c r="AE32" s="45" t="n">
        <f aca="false">IF($L$37=0,0,IF(10*LOG10(10^((AE26-AE28-AE31)/10)+10^(AE29/10))&lt;0,0,10*LOG10(10^((AE26-AE28-AE31)/10)+10^(AE29/10))))</f>
        <v>85.0010029636698</v>
      </c>
      <c r="AF32" s="45" t="n">
        <f aca="false">IF($L$37=0,0,IF(10*LOG10(10^((AF26-AF28-AF31)/10)+10^(AF29/10))&lt;0,0,10*LOG10(10^((AF26-AF28-AF31)/10)+10^(AF29/10))))</f>
        <v>75.0059373400501</v>
      </c>
      <c r="AG32" s="45" t="n">
        <f aca="false">IF($L$37=0,0,IF(10*LOG10(10^((AG26-AG28-AG31)/10)+10^(AG29/10))&lt;0,0,10*LOG10(10^((AG26-AG28-AG31)/10)+10^(AG29/10))))</f>
        <v>56.2650437008104</v>
      </c>
      <c r="AH32" s="45" t="n">
        <f aca="false">IF($L$37=0,0,IF(10*LOG10(10^((AH26-AH28-AH31)/10)+10^(AH29/10))&lt;0,0,10*LOG10(10^((AH26-AH28-AH31)/10)+10^(AH29/10))))</f>
        <v>46.9896109844738</v>
      </c>
      <c r="AI32" s="45" t="n">
        <f aca="false">IF($L$37=0,0,IF(10*LOG10(10^((AI26-AI28-AI31)/10)+10^(AI29/10))&lt;0,0,10*LOG10(10^((AI26-AI28-AI31)/10)+10^(AI29/10))))</f>
        <v>39.710056337101</v>
      </c>
      <c r="AJ32" s="45" t="n">
        <f aca="false">IF($L$37=0,0,IF(10*LOG10(10^((AJ26-AJ28-AJ31)/10)+10^(AJ29/10))&lt;0,0,10*LOG10(10^((AJ26-AJ28-AJ31)/10)+10^(AJ29/10))))</f>
        <v>38.5188467530437</v>
      </c>
      <c r="AK32" s="45" t="n">
        <f aca="false">IF($L$37=0,0,IF(10*LOG10(10^((AK26-AK28-AK31)/10)+10^(AK29/10))&lt;0,0,10*LOG10(10^((AK26-AK28-AK31)/10)+10^(AK29/10))))</f>
        <v>44.0349238607457</v>
      </c>
      <c r="AL32" s="62" t="n">
        <f aca="false">IF(10*LOG10((10^(AC32/10))+(10^(AD32/10))+(10^(AE32/10))+(10^(AF32/10))+(10^(AG32/10))+(10^(AH32/10))+(10^(AI32/10))+(10^(AJ32/10))+(10^(AK32/10)))&lt;20,"&lt;20",10*LOG10((10^(AC32/10))+(10^(AD32/10))+(10^(AE32/10))+(10^(AF32/10))+(10^(AG32/10))+(10^(AH32/10))+(10^(AI32/10))+(10^(AJ32/10))+(10^(AK32/10))))</f>
        <v>86.8134325591945</v>
      </c>
    </row>
    <row r="33" customFormat="false" ht="15.75" hidden="false" customHeight="true" outlineLevel="0" collapsed="false">
      <c r="A33" s="18" t="s">
        <v>99</v>
      </c>
      <c r="B33" s="59" t="n">
        <f aca="false">IF($L$37=0,"",$B$26*$B$14*$B$25/1000000)</f>
        <v>0.64</v>
      </c>
      <c r="C33" s="59"/>
      <c r="D33" s="60" t="s">
        <v>100</v>
      </c>
      <c r="E33" s="35" t="s">
        <v>101</v>
      </c>
      <c r="F33" s="35"/>
      <c r="G33" s="35"/>
      <c r="H33" s="35"/>
      <c r="I33" s="35"/>
      <c r="J33" s="35"/>
      <c r="K33" s="35"/>
      <c r="L33" s="43"/>
      <c r="N33" s="54"/>
      <c r="O33" s="16"/>
      <c r="P33" s="16"/>
      <c r="Q33" s="16"/>
      <c r="R33" s="16"/>
      <c r="S33" s="16"/>
      <c r="T33" s="16"/>
      <c r="U33" s="16"/>
      <c r="V33" s="16"/>
      <c r="W33" s="16"/>
      <c r="X33" s="16"/>
      <c r="Y33" s="55"/>
      <c r="AA33" s="19" t="s">
        <v>102</v>
      </c>
      <c r="AB33" s="19" t="s">
        <v>83</v>
      </c>
      <c r="AC33" s="45" t="n">
        <f aca="false">IF($L$37=0,0,IF((AC32+AC22)&lt;0,0,AC32+AC22))</f>
        <v>28.0570034848427</v>
      </c>
      <c r="AD33" s="45" t="n">
        <f aca="false">IF($L$37=0,0,IF((AD32+AD22)&lt;0,0,AD32+AD22))</f>
        <v>54.8058752201585</v>
      </c>
      <c r="AE33" s="45" t="n">
        <f aca="false">IF($L$37=0,0,IF((AE32+AE22)&lt;0,0,AE32+AE22))</f>
        <v>68.9010029636698</v>
      </c>
      <c r="AF33" s="45" t="n">
        <f aca="false">IF($L$37=0,0,IF((AF32+AF22)&lt;0,0,AF32+AF22))</f>
        <v>66.4059373400501</v>
      </c>
      <c r="AG33" s="45" t="n">
        <f aca="false">IF($L$37=0,0,IF((AG32+AG22)&lt;0,0,AG32+AG22))</f>
        <v>53.0650437008104</v>
      </c>
      <c r="AH33" s="45" t="n">
        <f aca="false">IF($L$37=0,0,IF((AH32+AH22)&lt;0,0,AH32+AH22))</f>
        <v>46.9896109844738</v>
      </c>
      <c r="AI33" s="45" t="n">
        <f aca="false">IF($L$37=0,0,IF((AI32+AI22)&lt;0,0,AI32+AI22))</f>
        <v>40.910056337101</v>
      </c>
      <c r="AJ33" s="45" t="n">
        <f aca="false">IF($L$37=0,0,IF((AJ32+AJ22)&lt;0,0,AJ32+AJ22))</f>
        <v>39.5188467530437</v>
      </c>
      <c r="AK33" s="45" t="n">
        <f aca="false">IF($L$37=0,0,IF((AK32+AK22)&lt;0,0,AK32+AK22))</f>
        <v>42.9349238607457</v>
      </c>
      <c r="AL33" s="62" t="n">
        <f aca="false">IF(10*LOG10((10^(AC33/10))+(10^(AD33/10))+(10^(AE33/10))+(10^(AF33/10))+(10^(AG33/10))+(10^(AH33/10))+(10^(AI33/10))+(10^(AJ33/10))+(10^(AK33/10)))&lt;20,"&lt;20",10*LOG10((10^(AC33/10))+(10^(AD33/10))+(10^(AE33/10))+(10^(AF33/10))+(10^(AG33/10))+(10^(AH33/10))+(10^(AI33/10))+(10^(AJ33/10))+(10^(AK33/10))))</f>
        <v>71.0489362044072</v>
      </c>
    </row>
    <row r="34" customFormat="false" ht="15.75" hidden="false" customHeight="true" outlineLevel="0" collapsed="false">
      <c r="A34" s="18" t="s">
        <v>103</v>
      </c>
      <c r="B34" s="59" t="n">
        <f aca="false">IF($L$37=0,"",IF($B$13&gt;$B$14,$B$13/1000,$B$14/1000))</f>
        <v>1.6</v>
      </c>
      <c r="C34" s="59"/>
      <c r="D34" s="19" t="s">
        <v>104</v>
      </c>
      <c r="E34" s="35" t="s">
        <v>105</v>
      </c>
      <c r="F34" s="35"/>
      <c r="G34" s="35"/>
      <c r="H34" s="35"/>
      <c r="I34" s="35"/>
      <c r="J34" s="35"/>
      <c r="K34" s="35"/>
      <c r="L34" s="43"/>
      <c r="N34" s="54"/>
      <c r="O34" s="16"/>
      <c r="P34" s="16"/>
      <c r="Q34" s="16"/>
      <c r="R34" s="16"/>
      <c r="S34" s="16"/>
      <c r="T34" s="16"/>
      <c r="U34" s="16"/>
      <c r="V34" s="16"/>
      <c r="W34" s="16"/>
      <c r="X34" s="16"/>
      <c r="Y34" s="55"/>
      <c r="AA34" s="19" t="s">
        <v>106</v>
      </c>
      <c r="AB34" s="19" t="s">
        <v>35</v>
      </c>
      <c r="AC34" s="45" t="n">
        <f aca="false">IF($L$37=0,0,IF($Y$10="L",AC26-AC32,IF($Y$10="A",AC27-AC33,"")))</f>
        <v>7.54299651515733</v>
      </c>
      <c r="AD34" s="45" t="n">
        <f aca="false">IF($L$37=0,0,IF($Y$10="L",AD26-AD32,IF($Y$10="A",AD27-AD33,"")))</f>
        <v>8.99412477984149</v>
      </c>
      <c r="AE34" s="45" t="n">
        <f aca="false">IF($L$37=0,0,IF($Y$10="L",AE26-AE32,IF($Y$10="A",AE27-AE33,"")))</f>
        <v>14.9989970363302</v>
      </c>
      <c r="AF34" s="45" t="n">
        <f aca="false">IF($L$37=0,0,IF($Y$10="L",AF26-AF32,IF($Y$10="A",AF27-AF33,"")))</f>
        <v>27.9940626599499</v>
      </c>
      <c r="AG34" s="45" t="n">
        <f aca="false">IF($L$37=0,0,IF($Y$10="L",AG26-AG32,IF($Y$10="A",AG27-AG33,"")))</f>
        <v>42.7349562991896</v>
      </c>
      <c r="AH34" s="45" t="n">
        <f aca="false">IF($L$37=0,0,IF($Y$10="L",AH26-AH32,IF($Y$10="A",AH27-AH33,"")))</f>
        <v>47.0103890155262</v>
      </c>
      <c r="AI34" s="45" t="n">
        <f aca="false">IF($L$37=0,0,IF($Y$10="L",AI26-AI32,IF($Y$10="A",AI27-AI33,"")))</f>
        <v>44.289943662899</v>
      </c>
      <c r="AJ34" s="45" t="n">
        <f aca="false">IF($L$37=0,0,IF($Y$10="L",AJ26-AJ32,IF($Y$10="A",AJ27-AJ33,"")))</f>
        <v>39.4811532469563</v>
      </c>
      <c r="AK34" s="45" t="n">
        <f aca="false">IF($L$37=0,0,IF($Y$10="L",AK26-AK32,IF($Y$10="A",AK27-AK33,"")))</f>
        <v>29.9650761392543</v>
      </c>
      <c r="AL34" s="19" t="s">
        <v>40</v>
      </c>
    </row>
    <row r="35" customFormat="false" ht="15.75" hidden="false" customHeight="true" outlineLevel="0" collapsed="false">
      <c r="A35" s="18" t="s">
        <v>107</v>
      </c>
      <c r="B35" s="59" t="n">
        <f aca="false">IF($L$37=0,"",0.02)</f>
        <v>0.02</v>
      </c>
      <c r="C35" s="59"/>
      <c r="D35" s="19" t="s">
        <v>40</v>
      </c>
      <c r="E35" s="35" t="s">
        <v>108</v>
      </c>
      <c r="F35" s="35"/>
      <c r="G35" s="35"/>
      <c r="H35" s="35"/>
      <c r="I35" s="35"/>
      <c r="J35" s="35"/>
      <c r="K35" s="35"/>
      <c r="L35" s="43"/>
      <c r="N35" s="54"/>
      <c r="O35" s="16"/>
      <c r="P35" s="16"/>
      <c r="Q35" s="16"/>
      <c r="R35" s="16"/>
      <c r="S35" s="16"/>
      <c r="T35" s="16"/>
      <c r="U35" s="16"/>
      <c r="V35" s="16"/>
      <c r="W35" s="16"/>
      <c r="X35" s="16"/>
      <c r="Y35" s="55"/>
    </row>
    <row r="36" customFormat="false" ht="15.75" hidden="false" customHeight="true" outlineLevel="0" collapsed="false">
      <c r="A36" s="18" t="s">
        <v>109</v>
      </c>
      <c r="B36" s="59" t="n">
        <f aca="false">IF($L$37=0,"",1)</f>
        <v>1</v>
      </c>
      <c r="C36" s="59"/>
      <c r="D36" s="19" t="s">
        <v>110</v>
      </c>
      <c r="E36" s="35" t="s">
        <v>111</v>
      </c>
      <c r="F36" s="35"/>
      <c r="G36" s="35"/>
      <c r="H36" s="35"/>
      <c r="I36" s="35"/>
      <c r="J36" s="35"/>
      <c r="K36" s="35"/>
      <c r="L36" s="43"/>
      <c r="N36" s="54"/>
      <c r="O36" s="16"/>
      <c r="P36" s="16"/>
      <c r="Q36" s="16"/>
      <c r="R36" s="16"/>
      <c r="S36" s="16"/>
      <c r="T36" s="16"/>
      <c r="U36" s="16"/>
      <c r="V36" s="16"/>
      <c r="W36" s="16"/>
      <c r="X36" s="16"/>
      <c r="Y36" s="55"/>
      <c r="AA36" s="17" t="s">
        <v>112</v>
      </c>
      <c r="AB36" s="17"/>
      <c r="AC36" s="17"/>
      <c r="AS36" s="17" t="s">
        <v>113</v>
      </c>
      <c r="AT36" s="17"/>
      <c r="AU36" s="17"/>
      <c r="AV36" s="17"/>
    </row>
    <row r="37" customFormat="false" ht="15.75" hidden="false" customHeight="true" outlineLevel="0" collapsed="false">
      <c r="A37" s="18" t="s">
        <v>114</v>
      </c>
      <c r="B37" s="59" t="n">
        <f aca="false">IF($L$37=0,"",63)</f>
        <v>63</v>
      </c>
      <c r="C37" s="59"/>
      <c r="D37" s="19" t="s">
        <v>35</v>
      </c>
      <c r="E37" s="35" t="s">
        <v>115</v>
      </c>
      <c r="F37" s="35"/>
      <c r="G37" s="35"/>
      <c r="H37" s="35"/>
      <c r="I37" s="35"/>
      <c r="J37" s="35"/>
      <c r="K37" s="35"/>
      <c r="L37" s="43" t="n">
        <f aca="false">L12*L13*L14*L15*L16*L17*L18*L19*L20*L21*L22*AG7*AV39</f>
        <v>1</v>
      </c>
      <c r="N37" s="54"/>
      <c r="O37" s="16"/>
      <c r="P37" s="16"/>
      <c r="Q37" s="16"/>
      <c r="R37" s="16"/>
      <c r="S37" s="16"/>
      <c r="T37" s="16"/>
      <c r="U37" s="16"/>
      <c r="V37" s="16"/>
      <c r="W37" s="16"/>
      <c r="X37" s="16"/>
      <c r="Y37" s="55"/>
      <c r="AA37" s="64" t="s">
        <v>116</v>
      </c>
      <c r="AB37" s="64"/>
      <c r="AC37" s="64"/>
      <c r="AD37" s="18" t="s">
        <v>15</v>
      </c>
      <c r="AE37" s="18" t="s">
        <v>16</v>
      </c>
      <c r="AF37" s="18" t="s">
        <v>117</v>
      </c>
      <c r="AG37" s="18" t="s">
        <v>118</v>
      </c>
      <c r="AH37" s="18" t="s">
        <v>119</v>
      </c>
      <c r="AI37" s="18" t="n">
        <v>31.5</v>
      </c>
      <c r="AJ37" s="18" t="n">
        <v>63</v>
      </c>
      <c r="AK37" s="18" t="n">
        <v>125</v>
      </c>
      <c r="AL37" s="18" t="n">
        <v>250</v>
      </c>
      <c r="AM37" s="18" t="n">
        <v>500</v>
      </c>
      <c r="AN37" s="18" t="n">
        <v>1000</v>
      </c>
      <c r="AO37" s="18" t="n">
        <v>2000</v>
      </c>
      <c r="AP37" s="18" t="n">
        <v>4000</v>
      </c>
      <c r="AQ37" s="18" t="n">
        <v>8000</v>
      </c>
      <c r="AS37" s="18" t="s">
        <v>15</v>
      </c>
      <c r="AT37" s="18" t="s">
        <v>16</v>
      </c>
      <c r="AU37" s="18" t="s">
        <v>117</v>
      </c>
      <c r="AV37" s="18" t="s">
        <v>118</v>
      </c>
    </row>
    <row r="38" customFormat="false" ht="15.75" hidden="false" customHeight="true" outlineLevel="0" collapsed="false">
      <c r="L38" s="65" t="s">
        <v>120</v>
      </c>
      <c r="N38" s="54"/>
      <c r="O38" s="16"/>
      <c r="P38" s="16"/>
      <c r="Q38" s="16"/>
      <c r="R38" s="16"/>
      <c r="S38" s="16"/>
      <c r="T38" s="16"/>
      <c r="U38" s="16"/>
      <c r="V38" s="16"/>
      <c r="W38" s="16"/>
      <c r="X38" s="16"/>
      <c r="Y38" s="55"/>
      <c r="AA38" s="66" t="s">
        <v>121</v>
      </c>
      <c r="AB38" s="67"/>
      <c r="AC38" s="68"/>
      <c r="AD38" s="19" t="s">
        <v>18</v>
      </c>
      <c r="AE38" s="20" t="n">
        <v>200</v>
      </c>
      <c r="AF38" s="20" t="n">
        <v>1000</v>
      </c>
      <c r="AG38" s="45" t="n">
        <v>10</v>
      </c>
      <c r="AH38" s="20" t="n">
        <v>1075</v>
      </c>
      <c r="AI38" s="19" t="n">
        <v>6</v>
      </c>
      <c r="AJ38" s="19" t="n">
        <v>6</v>
      </c>
      <c r="AK38" s="19" t="n">
        <v>9</v>
      </c>
      <c r="AL38" s="19" t="n">
        <v>15</v>
      </c>
      <c r="AM38" s="19" t="n">
        <v>26</v>
      </c>
      <c r="AN38" s="19" t="n">
        <v>40</v>
      </c>
      <c r="AO38" s="19" t="n">
        <v>35</v>
      </c>
      <c r="AP38" s="19" t="n">
        <v>30</v>
      </c>
      <c r="AQ38" s="19" t="n">
        <v>19</v>
      </c>
      <c r="AS38" s="19" t="str">
        <f aca="false">CONCATENATE("=",B16)</f>
        <v>=G</v>
      </c>
      <c r="AT38" s="20" t="n">
        <f aca="false">B17</f>
        <v>200</v>
      </c>
      <c r="AU38" s="19" t="n">
        <f aca="false">IF($B$15=1000,1000,IF($B$15=1500,1500,IF($B$15=2000,2000,0)))</f>
        <v>2000</v>
      </c>
      <c r="AV38" s="39" t="n">
        <f aca="false">IF(ISERR(DGET(AA37:AQ61,"Váha",AS37:AU38)),"",DGET(AA37:AQ61,"Váha",AS37:AU38))</f>
        <v>24</v>
      </c>
    </row>
    <row r="39" customFormat="false" ht="15.75" hidden="false" customHeight="true" outlineLevel="0" collapsed="false">
      <c r="A39" s="26" t="s">
        <v>122</v>
      </c>
      <c r="B39" s="26"/>
      <c r="C39" s="26"/>
      <c r="D39" s="26"/>
      <c r="E39" s="26"/>
      <c r="F39" s="26"/>
      <c r="G39" s="26"/>
      <c r="H39" s="26"/>
      <c r="I39" s="26"/>
      <c r="J39" s="26"/>
      <c r="K39" s="26"/>
      <c r="L39" s="26"/>
      <c r="N39" s="54"/>
      <c r="O39" s="16"/>
      <c r="P39" s="16"/>
      <c r="Q39" s="16"/>
      <c r="R39" s="16"/>
      <c r="S39" s="16"/>
      <c r="T39" s="16"/>
      <c r="U39" s="16"/>
      <c r="V39" s="16"/>
      <c r="W39" s="16"/>
      <c r="X39" s="16"/>
      <c r="Y39" s="55"/>
      <c r="AA39" s="66" t="s">
        <v>123</v>
      </c>
      <c r="AB39" s="67"/>
      <c r="AC39" s="68"/>
      <c r="AD39" s="19" t="s">
        <v>18</v>
      </c>
      <c r="AE39" s="20" t="n">
        <v>200</v>
      </c>
      <c r="AF39" s="20" t="n">
        <v>1500</v>
      </c>
      <c r="AG39" s="45" t="n">
        <v>15</v>
      </c>
      <c r="AH39" s="20" t="n">
        <v>1680</v>
      </c>
      <c r="AI39" s="19" t="n">
        <v>7</v>
      </c>
      <c r="AJ39" s="19" t="n">
        <v>7</v>
      </c>
      <c r="AK39" s="19" t="n">
        <v>12</v>
      </c>
      <c r="AL39" s="19" t="n">
        <v>21</v>
      </c>
      <c r="AM39" s="19" t="n">
        <v>38</v>
      </c>
      <c r="AN39" s="19" t="n">
        <v>43</v>
      </c>
      <c r="AO39" s="19" t="n">
        <v>40</v>
      </c>
      <c r="AP39" s="19" t="n">
        <v>33</v>
      </c>
      <c r="AQ39" s="19" t="n">
        <v>26</v>
      </c>
      <c r="AU39" s="19" t="s">
        <v>20</v>
      </c>
      <c r="AV39" s="19" t="n">
        <f aca="false">IF(AV38="",0,1)</f>
        <v>1</v>
      </c>
    </row>
    <row r="40" customFormat="false" ht="15.75" hidden="false" customHeight="true" outlineLevel="0" collapsed="false">
      <c r="A40" s="18" t="s">
        <v>28</v>
      </c>
      <c r="B40" s="19" t="s">
        <v>29</v>
      </c>
      <c r="C40" s="19" t="n">
        <v>31.5</v>
      </c>
      <c r="D40" s="19" t="n">
        <v>63</v>
      </c>
      <c r="E40" s="19" t="n">
        <v>125</v>
      </c>
      <c r="F40" s="19" t="n">
        <v>250</v>
      </c>
      <c r="G40" s="19" t="n">
        <v>500</v>
      </c>
      <c r="H40" s="19" t="n">
        <v>1000</v>
      </c>
      <c r="I40" s="19" t="n">
        <v>2000</v>
      </c>
      <c r="J40" s="19" t="n">
        <v>4000</v>
      </c>
      <c r="K40" s="19" t="n">
        <v>8000</v>
      </c>
      <c r="L40" s="19" t="s">
        <v>92</v>
      </c>
      <c r="N40" s="54"/>
      <c r="O40" s="16"/>
      <c r="P40" s="16"/>
      <c r="Q40" s="16"/>
      <c r="R40" s="16"/>
      <c r="S40" s="16"/>
      <c r="T40" s="16"/>
      <c r="U40" s="16"/>
      <c r="V40" s="16"/>
      <c r="W40" s="16"/>
      <c r="X40" s="16"/>
      <c r="Y40" s="55"/>
      <c r="AA40" s="66" t="s">
        <v>124</v>
      </c>
      <c r="AB40" s="67"/>
      <c r="AC40" s="68"/>
      <c r="AD40" s="19" t="s">
        <v>18</v>
      </c>
      <c r="AE40" s="20" t="n">
        <v>200</v>
      </c>
      <c r="AF40" s="20" t="n">
        <v>2000</v>
      </c>
      <c r="AG40" s="45" t="n">
        <v>24</v>
      </c>
      <c r="AH40" s="20" t="n">
        <v>2110</v>
      </c>
      <c r="AI40" s="19" t="n">
        <v>8</v>
      </c>
      <c r="AJ40" s="19" t="n">
        <v>9</v>
      </c>
      <c r="AK40" s="19" t="n">
        <v>15</v>
      </c>
      <c r="AL40" s="19" t="n">
        <v>28</v>
      </c>
      <c r="AM40" s="19" t="n">
        <v>43</v>
      </c>
      <c r="AN40" s="19" t="n">
        <v>48</v>
      </c>
      <c r="AO40" s="19" t="n">
        <v>46</v>
      </c>
      <c r="AP40" s="19" t="n">
        <v>40</v>
      </c>
      <c r="AQ40" s="19" t="n">
        <v>30</v>
      </c>
    </row>
    <row r="41" customFormat="false" ht="15.75" hidden="false" customHeight="true" outlineLevel="0" collapsed="false">
      <c r="A41" s="18" t="s">
        <v>125</v>
      </c>
      <c r="B41" s="19" t="s">
        <v>35</v>
      </c>
      <c r="C41" s="62" t="n">
        <f aca="false">IF($L$37=0,"",AC29)</f>
        <v>57.4518573118461</v>
      </c>
      <c r="D41" s="62" t="n">
        <f aca="false">IF($L$37=0,"",AD29)</f>
        <v>52.3153362812426</v>
      </c>
      <c r="E41" s="62" t="n">
        <f aca="false">IF($L$37=0,"",AE29)</f>
        <v>48.6355103977703</v>
      </c>
      <c r="F41" s="62" t="n">
        <f aca="false">IF($L$37=0,"",AF29)</f>
        <v>46.3610451256664</v>
      </c>
      <c r="G41" s="62" t="n">
        <f aca="false">IF($L$37=0,"",AG29)</f>
        <v>43.988527554493</v>
      </c>
      <c r="H41" s="62" t="n">
        <f aca="false">IF($L$37=0,"",AH29)</f>
        <v>40.080999182803</v>
      </c>
      <c r="I41" s="62" t="n">
        <f aca="false">IF($L$37=0,"",AI29)</f>
        <v>34.8353090479629</v>
      </c>
      <c r="J41" s="62" t="n">
        <f aca="false">IF($L$37=0,"",AJ29)</f>
        <v>29.0345537406036</v>
      </c>
      <c r="K41" s="62" t="n">
        <f aca="false">IF($L$37=0,"",AK29)</f>
        <v>23.0708529976497</v>
      </c>
      <c r="L41" s="47" t="n">
        <f aca="false">IF($L$37=0,"",$AL$30)</f>
        <v>45.5139529834893</v>
      </c>
      <c r="N41" s="69"/>
      <c r="O41" s="70"/>
      <c r="P41" s="70"/>
      <c r="Q41" s="70"/>
      <c r="R41" s="70"/>
      <c r="S41" s="70"/>
      <c r="T41" s="70"/>
      <c r="U41" s="70"/>
      <c r="V41" s="70"/>
      <c r="W41" s="70"/>
      <c r="X41" s="70"/>
      <c r="Y41" s="71"/>
      <c r="AA41" s="66" t="s">
        <v>126</v>
      </c>
      <c r="AB41" s="67"/>
      <c r="AC41" s="68"/>
      <c r="AD41" s="19" t="s">
        <v>18</v>
      </c>
      <c r="AE41" s="20" t="n">
        <v>250</v>
      </c>
      <c r="AF41" s="20" t="n">
        <v>1000</v>
      </c>
      <c r="AG41" s="45" t="n">
        <v>11</v>
      </c>
      <c r="AH41" s="20" t="n">
        <v>1145</v>
      </c>
      <c r="AI41" s="19" t="n">
        <v>6</v>
      </c>
      <c r="AJ41" s="19" t="n">
        <v>7</v>
      </c>
      <c r="AK41" s="19" t="n">
        <v>11</v>
      </c>
      <c r="AL41" s="19" t="n">
        <v>16</v>
      </c>
      <c r="AM41" s="19" t="n">
        <v>29</v>
      </c>
      <c r="AN41" s="19" t="n">
        <v>41</v>
      </c>
      <c r="AO41" s="19" t="n">
        <v>34</v>
      </c>
      <c r="AP41" s="19" t="n">
        <v>26</v>
      </c>
      <c r="AQ41" s="19" t="n">
        <v>17</v>
      </c>
    </row>
    <row r="42" customFormat="false" ht="15.75" hidden="false" customHeight="true" outlineLevel="0" collapsed="false">
      <c r="A42" s="56"/>
      <c r="B42" s="16"/>
      <c r="C42" s="56"/>
      <c r="D42" s="56"/>
      <c r="E42" s="56"/>
      <c r="F42" s="56"/>
      <c r="G42" s="56"/>
      <c r="H42" s="56"/>
      <c r="I42" s="56"/>
      <c r="J42" s="56"/>
      <c r="L42" s="65" t="s">
        <v>127</v>
      </c>
      <c r="AA42" s="66" t="s">
        <v>128</v>
      </c>
      <c r="AB42" s="67"/>
      <c r="AC42" s="68"/>
      <c r="AD42" s="19" t="s">
        <v>18</v>
      </c>
      <c r="AE42" s="20" t="n">
        <v>250</v>
      </c>
      <c r="AF42" s="20" t="n">
        <v>1500</v>
      </c>
      <c r="AG42" s="45" t="n">
        <v>17</v>
      </c>
      <c r="AH42" s="20" t="n">
        <v>1815</v>
      </c>
      <c r="AI42" s="19" t="n">
        <v>8</v>
      </c>
      <c r="AJ42" s="19" t="n">
        <v>8</v>
      </c>
      <c r="AK42" s="19" t="n">
        <v>15</v>
      </c>
      <c r="AL42" s="19" t="n">
        <v>23</v>
      </c>
      <c r="AM42" s="19" t="n">
        <v>41</v>
      </c>
      <c r="AN42" s="19" t="n">
        <v>43</v>
      </c>
      <c r="AO42" s="19" t="n">
        <v>37</v>
      </c>
      <c r="AP42" s="19" t="n">
        <v>31</v>
      </c>
      <c r="AQ42" s="19" t="n">
        <v>23</v>
      </c>
      <c r="AS42" s="17" t="s">
        <v>129</v>
      </c>
      <c r="AT42" s="17"/>
      <c r="AU42" s="17"/>
      <c r="AV42" s="17"/>
    </row>
    <row r="43" customFormat="false" ht="15.75" hidden="false" customHeight="true" outlineLevel="0" collapsed="false">
      <c r="A43" s="26" t="s">
        <v>130</v>
      </c>
      <c r="B43" s="26"/>
      <c r="C43" s="26"/>
      <c r="D43" s="26"/>
      <c r="E43" s="26"/>
      <c r="F43" s="26"/>
      <c r="G43" s="26"/>
      <c r="H43" s="26"/>
      <c r="I43" s="26"/>
      <c r="J43" s="26"/>
      <c r="K43" s="26"/>
      <c r="L43" s="26"/>
      <c r="N43" s="26" t="s">
        <v>131</v>
      </c>
      <c r="O43" s="26"/>
      <c r="P43" s="26"/>
      <c r="Q43" s="26"/>
      <c r="R43" s="26"/>
      <c r="S43" s="26"/>
      <c r="T43" s="26"/>
      <c r="U43" s="26"/>
      <c r="V43" s="26"/>
      <c r="W43" s="26"/>
      <c r="X43" s="26"/>
      <c r="Y43" s="26"/>
      <c r="AA43" s="66" t="s">
        <v>132</v>
      </c>
      <c r="AB43" s="67"/>
      <c r="AC43" s="68"/>
      <c r="AD43" s="19" t="s">
        <v>18</v>
      </c>
      <c r="AE43" s="20" t="n">
        <v>250</v>
      </c>
      <c r="AF43" s="20" t="n">
        <v>2000</v>
      </c>
      <c r="AG43" s="45" t="n">
        <v>26</v>
      </c>
      <c r="AH43" s="20" t="n">
        <v>2265</v>
      </c>
      <c r="AI43" s="19" t="n">
        <v>9</v>
      </c>
      <c r="AJ43" s="19" t="n">
        <v>11</v>
      </c>
      <c r="AK43" s="19" t="n">
        <v>18</v>
      </c>
      <c r="AL43" s="19" t="n">
        <v>28</v>
      </c>
      <c r="AM43" s="19" t="n">
        <v>42</v>
      </c>
      <c r="AN43" s="19" t="n">
        <v>47</v>
      </c>
      <c r="AO43" s="19" t="n">
        <v>43</v>
      </c>
      <c r="AP43" s="19" t="n">
        <v>36</v>
      </c>
      <c r="AQ43" s="19" t="n">
        <v>27</v>
      </c>
      <c r="AS43" s="72" t="str">
        <f aca="false">IF(ISERR(DGET(AA37:AQ61,"Označení tlumiče",AS37:AU38)),"Atypický rozměr",IF(MOD(B14,500)&gt;0,"Atypický rozměr",CONCATENATE(DGET(AA37:AQ61,"Označení tlumiče",AS37:AU38),AV43)))</f>
        <v>G200x500x2000.1</v>
      </c>
      <c r="AT43" s="73"/>
      <c r="AU43" s="74"/>
      <c r="AV43" s="75" t="str">
        <f aca="false">IF(AND(B18=0.1,B19=0.7),".1",IF(AND(B18=1,B19=1),".3",".2"))</f>
        <v>.1</v>
      </c>
    </row>
    <row r="44" customFormat="false" ht="15.75" hidden="false" customHeight="true" outlineLevel="0" collapsed="false">
      <c r="A44" s="18" t="s">
        <v>28</v>
      </c>
      <c r="B44" s="19" t="s">
        <v>29</v>
      </c>
      <c r="C44" s="19" t="n">
        <v>31.5</v>
      </c>
      <c r="D44" s="19" t="n">
        <v>63</v>
      </c>
      <c r="E44" s="19" t="n">
        <v>125</v>
      </c>
      <c r="F44" s="19" t="n">
        <v>250</v>
      </c>
      <c r="G44" s="19" t="n">
        <v>500</v>
      </c>
      <c r="H44" s="19" t="n">
        <v>1000</v>
      </c>
      <c r="I44" s="19" t="n">
        <v>2000</v>
      </c>
      <c r="J44" s="19" t="n">
        <v>4000</v>
      </c>
      <c r="K44" s="19" t="n">
        <v>8000</v>
      </c>
      <c r="L44" s="19" t="s">
        <v>133</v>
      </c>
      <c r="N44" s="76" t="s">
        <v>134</v>
      </c>
      <c r="O44" s="76"/>
      <c r="P44" s="76"/>
      <c r="Q44" s="77" t="str">
        <f aca="false">IF($L$37=0,"",CONCATENATE(B13," x ",B14," - ",B15))</f>
        <v>1600 x 1000 - 2000</v>
      </c>
      <c r="R44" s="77"/>
      <c r="S44" s="77"/>
      <c r="T44" s="76" t="s">
        <v>135</v>
      </c>
      <c r="U44" s="76"/>
      <c r="V44" s="76"/>
      <c r="W44" s="78" t="n">
        <f aca="false">IF(OR($L$37=0,$Q$45="Atypický rozměr"),"Zašlete poptávku",($B$13*$B$14*$B$15)/($B$17*500*$B$15))</f>
        <v>16</v>
      </c>
      <c r="X44" s="78"/>
      <c r="Y44" s="78"/>
      <c r="AA44" s="66" t="s">
        <v>136</v>
      </c>
      <c r="AB44" s="67"/>
      <c r="AC44" s="68"/>
      <c r="AD44" s="19" t="s">
        <v>18</v>
      </c>
      <c r="AE44" s="20" t="n">
        <v>300</v>
      </c>
      <c r="AF44" s="20" t="n">
        <v>2000</v>
      </c>
      <c r="AG44" s="45" t="n">
        <v>31</v>
      </c>
      <c r="AH44" s="20" t="n">
        <v>2420</v>
      </c>
      <c r="AI44" s="19" t="n">
        <v>9</v>
      </c>
      <c r="AJ44" s="19" t="n">
        <v>10</v>
      </c>
      <c r="AK44" s="19" t="n">
        <v>18</v>
      </c>
      <c r="AL44" s="19" t="n">
        <v>34</v>
      </c>
      <c r="AM44" s="19" t="n">
        <v>44</v>
      </c>
      <c r="AN44" s="19" t="n">
        <v>50</v>
      </c>
      <c r="AO44" s="19" t="n">
        <v>47</v>
      </c>
      <c r="AP44" s="19" t="n">
        <v>42</v>
      </c>
      <c r="AQ44" s="19" t="n">
        <v>30</v>
      </c>
    </row>
    <row r="45" customFormat="false" ht="15.75" hidden="false" customHeight="true" outlineLevel="0" collapsed="false">
      <c r="A45" s="18" t="s">
        <v>39</v>
      </c>
      <c r="B45" s="19" t="s">
        <v>35</v>
      </c>
      <c r="C45" s="62" t="n">
        <f aca="false">IF(OR($L$37=0,$K$13=0),"",AC28)</f>
        <v>8</v>
      </c>
      <c r="D45" s="62" t="n">
        <f aca="false">IF(OR($L$37=0,$K$13=0),"",AD28)</f>
        <v>9</v>
      </c>
      <c r="E45" s="62" t="n">
        <f aca="false">IF(OR($L$37=0,$K$13=0),"",AE28)</f>
        <v>15</v>
      </c>
      <c r="F45" s="62" t="n">
        <f aca="false">IF(OR($L$37=0,$K$13=0),"",AF28)</f>
        <v>28</v>
      </c>
      <c r="G45" s="62" t="n">
        <f aca="false">IF(OR($L$37=0,$K$13=0),"",AG28)</f>
        <v>43</v>
      </c>
      <c r="H45" s="62" t="n">
        <f aca="false">IF(OR($L$37=0,$K$13=0),"",AH28)</f>
        <v>48</v>
      </c>
      <c r="I45" s="62" t="n">
        <f aca="false">IF(OR($L$37=0,$K$13=0),"",AI28)</f>
        <v>46</v>
      </c>
      <c r="J45" s="62" t="n">
        <f aca="false">IF(OR($L$37=0,$K$13=0),"",AJ28)</f>
        <v>40</v>
      </c>
      <c r="K45" s="62" t="n">
        <f aca="false">IF(OR($L$37=0,$K$13=0),"",AK28)</f>
        <v>30</v>
      </c>
      <c r="L45" s="19" t="s">
        <v>137</v>
      </c>
      <c r="N45" s="76" t="s">
        <v>116</v>
      </c>
      <c r="O45" s="76"/>
      <c r="P45" s="76"/>
      <c r="Q45" s="79" t="str">
        <f aca="false">IF($L$37=0,"",$AS$43)</f>
        <v>G200x500x2000.1</v>
      </c>
      <c r="R45" s="79"/>
      <c r="S45" s="79"/>
      <c r="T45" s="76" t="s">
        <v>138</v>
      </c>
      <c r="U45" s="76"/>
      <c r="V45" s="76"/>
      <c r="W45" s="80" t="n">
        <f aca="false">IF(OR($L$37=0,$Q$45="Atypický rozměr"),"Zašlete poptávku",$W$44*$L$46)</f>
        <v>384</v>
      </c>
      <c r="X45" s="80"/>
      <c r="Y45" s="80"/>
      <c r="AA45" s="66" t="s">
        <v>139</v>
      </c>
      <c r="AB45" s="67"/>
      <c r="AC45" s="68"/>
      <c r="AD45" s="19" t="s">
        <v>18</v>
      </c>
      <c r="AE45" s="20" t="n">
        <v>400</v>
      </c>
      <c r="AF45" s="20" t="n">
        <v>2000</v>
      </c>
      <c r="AG45" s="45" t="n">
        <v>34</v>
      </c>
      <c r="AH45" s="20" t="n">
        <v>3055</v>
      </c>
      <c r="AI45" s="19" t="n">
        <v>8</v>
      </c>
      <c r="AJ45" s="19" t="n">
        <v>9</v>
      </c>
      <c r="AK45" s="19" t="n">
        <v>19</v>
      </c>
      <c r="AL45" s="19" t="n">
        <v>28</v>
      </c>
      <c r="AM45" s="19" t="n">
        <v>36</v>
      </c>
      <c r="AN45" s="19" t="n">
        <v>43</v>
      </c>
      <c r="AO45" s="19" t="n">
        <v>35</v>
      </c>
      <c r="AP45" s="19" t="n">
        <v>25</v>
      </c>
      <c r="AQ45" s="19" t="n">
        <v>15</v>
      </c>
      <c r="AS45" s="17" t="s">
        <v>140</v>
      </c>
      <c r="AT45" s="17"/>
      <c r="AU45" s="17"/>
      <c r="AV45" s="17"/>
    </row>
    <row r="46" customFormat="false" ht="15.75" hidden="false" customHeight="true" outlineLevel="0" collapsed="false">
      <c r="A46" s="18" t="s">
        <v>141</v>
      </c>
      <c r="B46" s="19" t="s">
        <v>35</v>
      </c>
      <c r="C46" s="81" t="n">
        <f aca="false">IF(C45="","",7)</f>
        <v>7</v>
      </c>
      <c r="D46" s="81" t="n">
        <f aca="false">IF(D45="","",6)</f>
        <v>6</v>
      </c>
      <c r="E46" s="81" t="n">
        <f aca="false">IF(E45="","",4)</f>
        <v>4</v>
      </c>
      <c r="F46" s="81" t="n">
        <f aca="false">IF(F45="","",4)</f>
        <v>4</v>
      </c>
      <c r="G46" s="81" t="n">
        <f aca="false">IF(G45="","",4)</f>
        <v>4</v>
      </c>
      <c r="H46" s="81" t="n">
        <f aca="false">IF(H45="","",4)</f>
        <v>4</v>
      </c>
      <c r="I46" s="81" t="n">
        <f aca="false">IF(I45="","",4)</f>
        <v>4</v>
      </c>
      <c r="J46" s="81" t="n">
        <f aca="false">IF(J45="","",4)</f>
        <v>4</v>
      </c>
      <c r="K46" s="81" t="n">
        <f aca="false">IF(K45="","",7)</f>
        <v>7</v>
      </c>
      <c r="L46" s="47" t="n">
        <f aca="false">IF($L$37=0,"",$AV$38)</f>
        <v>24</v>
      </c>
      <c r="N46" s="76" t="s">
        <v>142</v>
      </c>
      <c r="O46" s="76"/>
      <c r="P46" s="76"/>
      <c r="Q46" s="76"/>
      <c r="R46" s="76"/>
      <c r="S46" s="76"/>
      <c r="T46" s="76"/>
      <c r="U46" s="76"/>
      <c r="V46" s="76"/>
      <c r="W46" s="82" t="n">
        <f aca="false">IF($W$44="Zašlete poptávku","Zašlete poptávku",$W$44*$AS$46)</f>
        <v>33760</v>
      </c>
      <c r="X46" s="82"/>
      <c r="Y46" s="82"/>
      <c r="AA46" s="66" t="s">
        <v>143</v>
      </c>
      <c r="AB46" s="67"/>
      <c r="AC46" s="68"/>
      <c r="AD46" s="19" t="s">
        <v>18</v>
      </c>
      <c r="AE46" s="20" t="n">
        <v>500</v>
      </c>
      <c r="AF46" s="20" t="n">
        <v>2000</v>
      </c>
      <c r="AG46" s="45" t="n">
        <v>36</v>
      </c>
      <c r="AH46" s="20" t="n">
        <v>3445</v>
      </c>
      <c r="AI46" s="19" t="n">
        <v>9</v>
      </c>
      <c r="AJ46" s="19" t="n">
        <v>11</v>
      </c>
      <c r="AK46" s="19" t="n">
        <v>20</v>
      </c>
      <c r="AL46" s="19" t="n">
        <v>30</v>
      </c>
      <c r="AM46" s="19" t="n">
        <v>34</v>
      </c>
      <c r="AN46" s="19" t="n">
        <v>36</v>
      </c>
      <c r="AO46" s="19" t="n">
        <v>30</v>
      </c>
      <c r="AP46" s="19" t="n">
        <v>22</v>
      </c>
      <c r="AQ46" s="19" t="n">
        <v>13</v>
      </c>
      <c r="AS46" s="19" t="n">
        <f aca="false">IF(AS43="Atypický rozměr","",DGET(AA37:AQ61,"Cena",AS37:AU38))</f>
        <v>2110</v>
      </c>
      <c r="AT46" s="19" t="s">
        <v>144</v>
      </c>
    </row>
    <row r="47" customFormat="false" ht="15.75" hidden="false" customHeight="true" outlineLevel="0" collapsed="false">
      <c r="AA47" s="66" t="s">
        <v>145</v>
      </c>
      <c r="AB47" s="67"/>
      <c r="AC47" s="68"/>
      <c r="AD47" s="19" t="s">
        <v>31</v>
      </c>
      <c r="AE47" s="20" t="n">
        <v>200</v>
      </c>
      <c r="AF47" s="20" t="n">
        <v>1000</v>
      </c>
      <c r="AG47" s="45" t="n">
        <v>7.3</v>
      </c>
      <c r="AH47" s="20" t="n">
        <v>790</v>
      </c>
      <c r="AI47" s="19" t="n">
        <v>5</v>
      </c>
      <c r="AJ47" s="19" t="n">
        <v>5</v>
      </c>
      <c r="AK47" s="19" t="n">
        <v>8</v>
      </c>
      <c r="AL47" s="19" t="n">
        <v>14</v>
      </c>
      <c r="AM47" s="19" t="n">
        <v>24</v>
      </c>
      <c r="AN47" s="19" t="n">
        <v>40</v>
      </c>
      <c r="AO47" s="19" t="n">
        <v>36</v>
      </c>
      <c r="AP47" s="19" t="n">
        <v>29</v>
      </c>
      <c r="AQ47" s="19" t="n">
        <v>20</v>
      </c>
    </row>
    <row r="48" customFormat="false" ht="15.75" hidden="false" customHeight="true" outlineLevel="0" collapsed="false">
      <c r="A48" s="83"/>
      <c r="AA48" s="66" t="s">
        <v>146</v>
      </c>
      <c r="AB48" s="67"/>
      <c r="AC48" s="68"/>
      <c r="AD48" s="19" t="s">
        <v>31</v>
      </c>
      <c r="AE48" s="20" t="n">
        <v>200</v>
      </c>
      <c r="AF48" s="20" t="n">
        <v>1500</v>
      </c>
      <c r="AG48" s="45" t="n">
        <v>10.8</v>
      </c>
      <c r="AH48" s="20" t="n">
        <v>1310</v>
      </c>
      <c r="AI48" s="19" t="n">
        <v>6</v>
      </c>
      <c r="AJ48" s="19" t="n">
        <v>6</v>
      </c>
      <c r="AK48" s="19" t="n">
        <v>11</v>
      </c>
      <c r="AL48" s="19" t="n">
        <v>19</v>
      </c>
      <c r="AM48" s="19" t="n">
        <v>32</v>
      </c>
      <c r="AN48" s="19" t="n">
        <v>42</v>
      </c>
      <c r="AO48" s="19" t="n">
        <v>39</v>
      </c>
      <c r="AP48" s="19" t="n">
        <v>35</v>
      </c>
      <c r="AQ48" s="19" t="n">
        <v>24</v>
      </c>
    </row>
    <row r="49" customFormat="false" ht="15.75" hidden="false" customHeight="true" outlineLevel="0" collapsed="false">
      <c r="AA49" s="66" t="s">
        <v>147</v>
      </c>
      <c r="AB49" s="67"/>
      <c r="AC49" s="68"/>
      <c r="AD49" s="19" t="s">
        <v>31</v>
      </c>
      <c r="AE49" s="20" t="n">
        <v>250</v>
      </c>
      <c r="AF49" s="20" t="n">
        <v>1000</v>
      </c>
      <c r="AG49" s="45" t="n">
        <v>8.6</v>
      </c>
      <c r="AH49" s="20" t="n">
        <v>850</v>
      </c>
      <c r="AI49" s="19" t="n">
        <v>6</v>
      </c>
      <c r="AJ49" s="19" t="n">
        <v>7</v>
      </c>
      <c r="AK49" s="19" t="n">
        <v>11</v>
      </c>
      <c r="AL49" s="19" t="n">
        <v>16</v>
      </c>
      <c r="AM49" s="19" t="n">
        <v>29</v>
      </c>
      <c r="AN49" s="19" t="n">
        <v>45</v>
      </c>
      <c r="AO49" s="19" t="n">
        <v>40</v>
      </c>
      <c r="AP49" s="19" t="n">
        <v>32</v>
      </c>
      <c r="AQ49" s="19" t="n">
        <v>23</v>
      </c>
    </row>
    <row r="50" customFormat="false" ht="15.75" hidden="false" customHeight="true" outlineLevel="0" collapsed="false">
      <c r="AA50" s="66" t="s">
        <v>148</v>
      </c>
      <c r="AB50" s="67"/>
      <c r="AC50" s="68"/>
      <c r="AD50" s="19" t="s">
        <v>31</v>
      </c>
      <c r="AE50" s="20" t="n">
        <v>250</v>
      </c>
      <c r="AF50" s="20" t="n">
        <v>1500</v>
      </c>
      <c r="AG50" s="45" t="n">
        <v>12.8</v>
      </c>
      <c r="AH50" s="20" t="n">
        <v>1465</v>
      </c>
      <c r="AI50" s="19" t="n">
        <v>8</v>
      </c>
      <c r="AJ50" s="19" t="n">
        <v>8</v>
      </c>
      <c r="AK50" s="19" t="n">
        <v>15</v>
      </c>
      <c r="AL50" s="19" t="n">
        <v>23</v>
      </c>
      <c r="AM50" s="19" t="n">
        <v>41</v>
      </c>
      <c r="AN50" s="19" t="n">
        <v>46</v>
      </c>
      <c r="AO50" s="19" t="n">
        <v>43</v>
      </c>
      <c r="AP50" s="19" t="n">
        <v>38</v>
      </c>
      <c r="AQ50" s="19" t="n">
        <v>28</v>
      </c>
    </row>
    <row r="51" customFormat="false" ht="15.75" hidden="false" customHeight="true" outlineLevel="0" collapsed="false">
      <c r="AA51" s="66" t="s">
        <v>149</v>
      </c>
      <c r="AB51" s="67"/>
      <c r="AC51" s="68"/>
      <c r="AD51" s="19" t="s">
        <v>31</v>
      </c>
      <c r="AE51" s="20" t="n">
        <v>300</v>
      </c>
      <c r="AF51" s="20" t="n">
        <v>1000</v>
      </c>
      <c r="AG51" s="45" t="n">
        <v>11.8</v>
      </c>
      <c r="AH51" s="20" t="n">
        <v>900</v>
      </c>
      <c r="AI51" s="19" t="n">
        <v>7</v>
      </c>
      <c r="AJ51" s="19" t="n">
        <v>8</v>
      </c>
      <c r="AK51" s="19" t="n">
        <v>12</v>
      </c>
      <c r="AL51" s="19" t="n">
        <v>19</v>
      </c>
      <c r="AM51" s="19" t="n">
        <v>34</v>
      </c>
      <c r="AN51" s="19" t="n">
        <v>46</v>
      </c>
      <c r="AO51" s="19" t="n">
        <v>41</v>
      </c>
      <c r="AP51" s="19" t="n">
        <v>31</v>
      </c>
      <c r="AQ51" s="19" t="n">
        <v>20</v>
      </c>
    </row>
    <row r="52" customFormat="false" ht="15.75" hidden="false" customHeight="true" outlineLevel="0" collapsed="false">
      <c r="AA52" s="66" t="s">
        <v>150</v>
      </c>
      <c r="AB52" s="67"/>
      <c r="AC52" s="68"/>
      <c r="AD52" s="19" t="s">
        <v>31</v>
      </c>
      <c r="AE52" s="20" t="n">
        <v>300</v>
      </c>
      <c r="AF52" s="20" t="n">
        <v>1500</v>
      </c>
      <c r="AG52" s="45" t="n">
        <v>16.5</v>
      </c>
      <c r="AH52" s="20" t="n">
        <v>1615</v>
      </c>
      <c r="AI52" s="19" t="n">
        <v>8</v>
      </c>
      <c r="AJ52" s="19" t="n">
        <v>9</v>
      </c>
      <c r="AK52" s="19" t="n">
        <v>17</v>
      </c>
      <c r="AL52" s="19" t="n">
        <v>27</v>
      </c>
      <c r="AM52" s="19" t="n">
        <v>40</v>
      </c>
      <c r="AN52" s="19" t="n">
        <v>49</v>
      </c>
      <c r="AO52" s="19" t="n">
        <v>47</v>
      </c>
      <c r="AP52" s="19" t="n">
        <v>39</v>
      </c>
      <c r="AQ52" s="19" t="n">
        <v>22</v>
      </c>
    </row>
    <row r="53" customFormat="false" ht="15.75" hidden="false" customHeight="true" outlineLevel="0" collapsed="false">
      <c r="AA53" s="66" t="s">
        <v>151</v>
      </c>
      <c r="AB53" s="67"/>
      <c r="AC53" s="68"/>
      <c r="AD53" s="19" t="s">
        <v>43</v>
      </c>
      <c r="AE53" s="20" t="n">
        <v>200</v>
      </c>
      <c r="AF53" s="20" t="n">
        <v>1000</v>
      </c>
      <c r="AG53" s="45" t="n">
        <v>10</v>
      </c>
      <c r="AH53" s="20" t="n">
        <v>1210</v>
      </c>
      <c r="AI53" s="19" t="n">
        <v>6</v>
      </c>
      <c r="AJ53" s="19" t="n">
        <v>6</v>
      </c>
      <c r="AK53" s="19" t="n">
        <v>9</v>
      </c>
      <c r="AL53" s="19" t="n">
        <v>15</v>
      </c>
      <c r="AM53" s="19" t="n">
        <v>26</v>
      </c>
      <c r="AN53" s="19" t="n">
        <v>28</v>
      </c>
      <c r="AO53" s="19" t="n">
        <v>24</v>
      </c>
      <c r="AP53" s="19" t="n">
        <v>18</v>
      </c>
      <c r="AQ53" s="19" t="n">
        <v>10</v>
      </c>
    </row>
    <row r="54" customFormat="false" ht="15.75" hidden="false" customHeight="true" outlineLevel="0" collapsed="false">
      <c r="AA54" s="66" t="s">
        <v>152</v>
      </c>
      <c r="AB54" s="67"/>
      <c r="AC54" s="68"/>
      <c r="AD54" s="19" t="s">
        <v>43</v>
      </c>
      <c r="AE54" s="20" t="n">
        <v>200</v>
      </c>
      <c r="AF54" s="20" t="n">
        <v>1500</v>
      </c>
      <c r="AG54" s="45" t="n">
        <v>15</v>
      </c>
      <c r="AH54" s="20" t="n">
        <v>1870</v>
      </c>
      <c r="AI54" s="19" t="n">
        <v>7</v>
      </c>
      <c r="AJ54" s="19" t="n">
        <v>7</v>
      </c>
      <c r="AK54" s="19" t="n">
        <v>12</v>
      </c>
      <c r="AL54" s="19" t="n">
        <v>21</v>
      </c>
      <c r="AM54" s="19" t="n">
        <v>30</v>
      </c>
      <c r="AN54" s="19" t="n">
        <v>33</v>
      </c>
      <c r="AO54" s="19" t="n">
        <v>30</v>
      </c>
      <c r="AP54" s="19" t="n">
        <v>20</v>
      </c>
      <c r="AQ54" s="19" t="n">
        <v>12</v>
      </c>
    </row>
    <row r="55" customFormat="false" ht="15.75" hidden="false" customHeight="true" outlineLevel="0" collapsed="false">
      <c r="AA55" s="66" t="s">
        <v>153</v>
      </c>
      <c r="AB55" s="67"/>
      <c r="AC55" s="68"/>
      <c r="AD55" s="19" t="s">
        <v>43</v>
      </c>
      <c r="AE55" s="20" t="n">
        <v>200</v>
      </c>
      <c r="AF55" s="20" t="n">
        <v>2000</v>
      </c>
      <c r="AG55" s="45" t="n">
        <v>24</v>
      </c>
      <c r="AH55" s="20" t="n">
        <v>2370</v>
      </c>
      <c r="AI55" s="19" t="n">
        <v>8</v>
      </c>
      <c r="AJ55" s="19" t="n">
        <v>9</v>
      </c>
      <c r="AK55" s="19" t="n">
        <v>15</v>
      </c>
      <c r="AL55" s="19" t="n">
        <v>28</v>
      </c>
      <c r="AM55" s="19" t="n">
        <v>36</v>
      </c>
      <c r="AN55" s="19" t="n">
        <v>40</v>
      </c>
      <c r="AO55" s="19" t="n">
        <v>37</v>
      </c>
      <c r="AP55" s="19" t="n">
        <v>28</v>
      </c>
      <c r="AQ55" s="19" t="n">
        <v>20</v>
      </c>
    </row>
    <row r="56" customFormat="false" ht="15.75" hidden="false" customHeight="true" outlineLevel="0" collapsed="false">
      <c r="AA56" s="66" t="s">
        <v>154</v>
      </c>
      <c r="AB56" s="67"/>
      <c r="AC56" s="68"/>
      <c r="AD56" s="19" t="s">
        <v>43</v>
      </c>
      <c r="AE56" s="20" t="n">
        <v>250</v>
      </c>
      <c r="AF56" s="20" t="n">
        <v>1000</v>
      </c>
      <c r="AG56" s="45" t="n">
        <v>11</v>
      </c>
      <c r="AH56" s="20" t="n">
        <v>1285</v>
      </c>
      <c r="AI56" s="19" t="n">
        <v>6</v>
      </c>
      <c r="AJ56" s="19" t="n">
        <v>7</v>
      </c>
      <c r="AK56" s="19" t="n">
        <v>11</v>
      </c>
      <c r="AL56" s="19" t="n">
        <v>16</v>
      </c>
      <c r="AM56" s="19" t="n">
        <v>25</v>
      </c>
      <c r="AN56" s="19" t="n">
        <v>27</v>
      </c>
      <c r="AO56" s="19" t="n">
        <v>23</v>
      </c>
      <c r="AP56" s="19" t="n">
        <v>17</v>
      </c>
      <c r="AQ56" s="19" t="n">
        <v>9</v>
      </c>
    </row>
    <row r="57" customFormat="false" ht="15.75" hidden="false" customHeight="true" outlineLevel="0" collapsed="false">
      <c r="AA57" s="66" t="s">
        <v>155</v>
      </c>
      <c r="AB57" s="67"/>
      <c r="AC57" s="68"/>
      <c r="AD57" s="19" t="s">
        <v>43</v>
      </c>
      <c r="AE57" s="20" t="n">
        <v>250</v>
      </c>
      <c r="AF57" s="20" t="n">
        <v>1500</v>
      </c>
      <c r="AG57" s="45" t="n">
        <v>17</v>
      </c>
      <c r="AH57" s="20" t="n">
        <v>2015</v>
      </c>
      <c r="AI57" s="19" t="n">
        <v>8</v>
      </c>
      <c r="AJ57" s="19" t="n">
        <v>8</v>
      </c>
      <c r="AK57" s="19" t="n">
        <v>15</v>
      </c>
      <c r="AL57" s="19" t="n">
        <v>23</v>
      </c>
      <c r="AM57" s="19" t="n">
        <v>30</v>
      </c>
      <c r="AN57" s="19" t="n">
        <v>32</v>
      </c>
      <c r="AO57" s="19" t="n">
        <v>29</v>
      </c>
      <c r="AP57" s="19" t="n">
        <v>21</v>
      </c>
      <c r="AQ57" s="19" t="n">
        <v>11</v>
      </c>
    </row>
    <row r="58" customFormat="false" ht="15.75" hidden="false" customHeight="true" outlineLevel="0" collapsed="false">
      <c r="AA58" s="66" t="s">
        <v>156</v>
      </c>
      <c r="AB58" s="67"/>
      <c r="AC58" s="68"/>
      <c r="AD58" s="19" t="s">
        <v>43</v>
      </c>
      <c r="AE58" s="20" t="n">
        <v>250</v>
      </c>
      <c r="AF58" s="20" t="n">
        <v>2000</v>
      </c>
      <c r="AG58" s="45" t="n">
        <v>26</v>
      </c>
      <c r="AH58" s="20" t="n">
        <v>2525</v>
      </c>
      <c r="AI58" s="19" t="n">
        <v>9</v>
      </c>
      <c r="AJ58" s="19" t="n">
        <v>11</v>
      </c>
      <c r="AK58" s="19" t="n">
        <v>18</v>
      </c>
      <c r="AL58" s="19" t="n">
        <v>28</v>
      </c>
      <c r="AM58" s="19" t="n">
        <v>35</v>
      </c>
      <c r="AN58" s="19" t="n">
        <v>38</v>
      </c>
      <c r="AO58" s="19" t="n">
        <v>34</v>
      </c>
      <c r="AP58" s="19" t="n">
        <v>26</v>
      </c>
      <c r="AQ58" s="19" t="n">
        <v>17</v>
      </c>
    </row>
    <row r="59" customFormat="false" ht="15.75" hidden="false" customHeight="true" outlineLevel="0" collapsed="false">
      <c r="AA59" s="66" t="s">
        <v>157</v>
      </c>
      <c r="AB59" s="67"/>
      <c r="AC59" s="68"/>
      <c r="AD59" s="19" t="s">
        <v>43</v>
      </c>
      <c r="AE59" s="20" t="n">
        <v>300</v>
      </c>
      <c r="AF59" s="20" t="n">
        <v>2000</v>
      </c>
      <c r="AG59" s="45" t="n">
        <v>31</v>
      </c>
      <c r="AH59" s="20" t="n">
        <v>2680</v>
      </c>
      <c r="AI59" s="19" t="n">
        <v>9</v>
      </c>
      <c r="AJ59" s="19" t="n">
        <v>10</v>
      </c>
      <c r="AK59" s="19" t="n">
        <v>18</v>
      </c>
      <c r="AL59" s="19" t="n">
        <v>32</v>
      </c>
      <c r="AM59" s="19" t="n">
        <v>38</v>
      </c>
      <c r="AN59" s="19" t="n">
        <v>39</v>
      </c>
      <c r="AO59" s="19" t="n">
        <v>37</v>
      </c>
      <c r="AP59" s="19" t="n">
        <v>32</v>
      </c>
      <c r="AQ59" s="19" t="n">
        <v>25</v>
      </c>
    </row>
    <row r="60" customFormat="false" ht="15.75" hidden="false" customHeight="true" outlineLevel="0" collapsed="false">
      <c r="AA60" s="66" t="s">
        <v>158</v>
      </c>
      <c r="AB60" s="67"/>
      <c r="AC60" s="68"/>
      <c r="AD60" s="19" t="s">
        <v>43</v>
      </c>
      <c r="AE60" s="20" t="n">
        <v>400</v>
      </c>
      <c r="AF60" s="20" t="n">
        <v>2000</v>
      </c>
      <c r="AG60" s="45" t="n">
        <v>34</v>
      </c>
      <c r="AH60" s="20" t="n">
        <v>3315</v>
      </c>
      <c r="AI60" s="19" t="n">
        <v>8</v>
      </c>
      <c r="AJ60" s="19" t="n">
        <v>9</v>
      </c>
      <c r="AK60" s="19" t="n">
        <v>19</v>
      </c>
      <c r="AL60" s="19" t="n">
        <v>28</v>
      </c>
      <c r="AM60" s="19" t="n">
        <v>36</v>
      </c>
      <c r="AN60" s="19" t="n">
        <v>38</v>
      </c>
      <c r="AO60" s="19" t="n">
        <v>32</v>
      </c>
      <c r="AP60" s="19" t="n">
        <v>25</v>
      </c>
      <c r="AQ60" s="19" t="n">
        <v>17</v>
      </c>
    </row>
    <row r="61" customFormat="false" ht="15.75" hidden="false" customHeight="true" outlineLevel="0" collapsed="false">
      <c r="AA61" s="76" t="s">
        <v>159</v>
      </c>
      <c r="AB61" s="76"/>
      <c r="AC61" s="76"/>
      <c r="AD61" s="19" t="s">
        <v>43</v>
      </c>
      <c r="AE61" s="20" t="n">
        <v>500</v>
      </c>
      <c r="AF61" s="20" t="n">
        <v>2000</v>
      </c>
      <c r="AG61" s="45" t="n">
        <v>36</v>
      </c>
      <c r="AH61" s="20" t="n">
        <v>3715</v>
      </c>
      <c r="AI61" s="19" t="n">
        <v>9</v>
      </c>
      <c r="AJ61" s="19" t="n">
        <v>11</v>
      </c>
      <c r="AK61" s="19" t="n">
        <v>20</v>
      </c>
      <c r="AL61" s="19" t="n">
        <v>30</v>
      </c>
      <c r="AM61" s="19" t="n">
        <v>34</v>
      </c>
      <c r="AN61" s="19" t="n">
        <v>36</v>
      </c>
      <c r="AO61" s="19" t="n">
        <v>30</v>
      </c>
      <c r="AP61" s="19" t="n">
        <v>22</v>
      </c>
      <c r="AQ61" s="19" t="n">
        <v>13</v>
      </c>
    </row>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sheetData>
  <sheetProtection sheet="true" password="89b2" objects="true" scenarios="true"/>
  <mergeCells count="86">
    <mergeCell ref="N1:Y1"/>
    <mergeCell ref="AA1:AM2"/>
    <mergeCell ref="AA4:AC4"/>
    <mergeCell ref="AE4:AG4"/>
    <mergeCell ref="A5:L6"/>
    <mergeCell ref="A7:L7"/>
    <mergeCell ref="A8:L8"/>
    <mergeCell ref="A10:C10"/>
    <mergeCell ref="D10:L10"/>
    <mergeCell ref="N10:Q10"/>
    <mergeCell ref="R10:X10"/>
    <mergeCell ref="K11:L11"/>
    <mergeCell ref="B12:C12"/>
    <mergeCell ref="E12:K12"/>
    <mergeCell ref="B13:C13"/>
    <mergeCell ref="E13:J13"/>
    <mergeCell ref="B14:C14"/>
    <mergeCell ref="E14:K14"/>
    <mergeCell ref="B15:C15"/>
    <mergeCell ref="E15:K15"/>
    <mergeCell ref="B16:C16"/>
    <mergeCell ref="E16:K16"/>
    <mergeCell ref="B17:C17"/>
    <mergeCell ref="E17:K17"/>
    <mergeCell ref="B18:C18"/>
    <mergeCell ref="E18:K18"/>
    <mergeCell ref="B19:C19"/>
    <mergeCell ref="E19:K19"/>
    <mergeCell ref="N19:Y19"/>
    <mergeCell ref="B20:C20"/>
    <mergeCell ref="E20:K20"/>
    <mergeCell ref="AA20:AC20"/>
    <mergeCell ref="B21:C21"/>
    <mergeCell ref="E21:K21"/>
    <mergeCell ref="B22:C22"/>
    <mergeCell ref="E22:K22"/>
    <mergeCell ref="B23:C23"/>
    <mergeCell ref="E23:K23"/>
    <mergeCell ref="B24:C24"/>
    <mergeCell ref="E24:K24"/>
    <mergeCell ref="AA24:AC24"/>
    <mergeCell ref="B25:C25"/>
    <mergeCell ref="E25:K25"/>
    <mergeCell ref="B26:C26"/>
    <mergeCell ref="E26:K26"/>
    <mergeCell ref="B27:C27"/>
    <mergeCell ref="E27:K27"/>
    <mergeCell ref="B28:C28"/>
    <mergeCell ref="E28:K28"/>
    <mergeCell ref="B29:C29"/>
    <mergeCell ref="E29:K29"/>
    <mergeCell ref="B30:C30"/>
    <mergeCell ref="E30:K30"/>
    <mergeCell ref="B31:C31"/>
    <mergeCell ref="E31:K31"/>
    <mergeCell ref="B32:C32"/>
    <mergeCell ref="E32:K32"/>
    <mergeCell ref="B33:C33"/>
    <mergeCell ref="E33:K33"/>
    <mergeCell ref="B34:C34"/>
    <mergeCell ref="E34:K34"/>
    <mergeCell ref="B35:C35"/>
    <mergeCell ref="E35:K35"/>
    <mergeCell ref="B36:C36"/>
    <mergeCell ref="E36:K36"/>
    <mergeCell ref="AA36:AC36"/>
    <mergeCell ref="AS36:AV36"/>
    <mergeCell ref="B37:C37"/>
    <mergeCell ref="E37:K37"/>
    <mergeCell ref="AA37:AC37"/>
    <mergeCell ref="A39:L39"/>
    <mergeCell ref="AS42:AV42"/>
    <mergeCell ref="A43:L43"/>
    <mergeCell ref="N43:Y43"/>
    <mergeCell ref="N44:P44"/>
    <mergeCell ref="Q44:S44"/>
    <mergeCell ref="T44:V44"/>
    <mergeCell ref="W44:Y44"/>
    <mergeCell ref="N45:P45"/>
    <mergeCell ref="Q45:S45"/>
    <mergeCell ref="T45:V45"/>
    <mergeCell ref="W45:Y45"/>
    <mergeCell ref="AS45:AV45"/>
    <mergeCell ref="N46:V46"/>
    <mergeCell ref="W46:Y46"/>
    <mergeCell ref="AA61:AC61"/>
  </mergeCells>
  <conditionalFormatting sqref="A7">
    <cfRule type="cellIs" priority="2" operator="notEqual" aboveAverage="0" equalAverage="0" bottom="0" percent="0" rank="0" text="" dxfId="2">
      <formula>"Zadejte název projektu"</formula>
    </cfRule>
  </conditionalFormatting>
  <conditionalFormatting sqref="A8">
    <cfRule type="cellIs" priority="3" operator="notEqual" aboveAverage="0" equalAverage="0" bottom="0" percent="0" rank="0" text="" dxfId="3">
      <formula>"Zadejte název tlumiče"</formula>
    </cfRule>
  </conditionalFormatting>
  <conditionalFormatting sqref="B27:C27">
    <cfRule type="expression" priority="4" aboveAverage="0" equalAverage="0" bottom="0" percent="0" rank="0" text="" dxfId="4">
      <formula>IF(AND($B$27&gt;25,$L$37&lt;&gt;0),1,0)</formula>
    </cfRule>
  </conditionalFormatting>
  <conditionalFormatting sqref="B12:C12">
    <cfRule type="expression" priority="5" aboveAverage="0" equalAverage="0" bottom="0" percent="0" rank="0" text="" dxfId="5">
      <formula>$L$12=0</formula>
    </cfRule>
  </conditionalFormatting>
  <conditionalFormatting sqref="E27:K27">
    <cfRule type="expression" priority="6" aboveAverage="0" equalAverage="0" bottom="0" percent="0" rank="0" text="" dxfId="6">
      <formula>IF(AND($B$27&gt;25,$L$37&lt;&gt;0),1,0)</formula>
    </cfRule>
  </conditionalFormatting>
  <conditionalFormatting sqref="B13:C13">
    <cfRule type="expression" priority="7" aboveAverage="0" equalAverage="0" bottom="0" percent="0" rank="0" text="" dxfId="7">
      <formula>$L$13=0</formula>
    </cfRule>
  </conditionalFormatting>
  <conditionalFormatting sqref="B14:C14">
    <cfRule type="expression" priority="8" aboveAverage="0" equalAverage="0" bottom="0" percent="0" rank="0" text="" dxfId="8">
      <formula>$L$14=0</formula>
    </cfRule>
  </conditionalFormatting>
  <conditionalFormatting sqref="B15:C15">
    <cfRule type="expression" priority="9" aboveAverage="0" equalAverage="0" bottom="0" percent="0" rank="0" text="" dxfId="9">
      <formula>$L$15=0</formula>
    </cfRule>
  </conditionalFormatting>
  <conditionalFormatting sqref="B16:C16">
    <cfRule type="expression" priority="10" aboveAverage="0" equalAverage="0" bottom="0" percent="0" rank="0" text="" dxfId="10">
      <formula>$L$16=0</formula>
    </cfRule>
  </conditionalFormatting>
  <conditionalFormatting sqref="B17:C17">
    <cfRule type="expression" priority="11" aboveAverage="0" equalAverage="0" bottom="0" percent="0" rank="0" text="" dxfId="11">
      <formula>$L$17=0</formula>
    </cfRule>
  </conditionalFormatting>
  <conditionalFormatting sqref="B18:C18">
    <cfRule type="expression" priority="12" aboveAverage="0" equalAverage="0" bottom="0" percent="0" rank="0" text="" dxfId="12">
      <formula>$L$18=0</formula>
    </cfRule>
  </conditionalFormatting>
  <conditionalFormatting sqref="B19:C19">
    <cfRule type="expression" priority="13" aboveAverage="0" equalAverage="0" bottom="0" percent="0" rank="0" text="" dxfId="13">
      <formula>$L$19=0</formula>
    </cfRule>
  </conditionalFormatting>
  <conditionalFormatting sqref="B20:C20">
    <cfRule type="expression" priority="14" aboveAverage="0" equalAverage="0" bottom="0" percent="0" rank="0" text="" dxfId="14">
      <formula>$L$20=0</formula>
    </cfRule>
  </conditionalFormatting>
  <conditionalFormatting sqref="B21:C21">
    <cfRule type="expression" priority="15" aboveAverage="0" equalAverage="0" bottom="0" percent="0" rank="0" text="" dxfId="15">
      <formula>$L$21=0</formula>
    </cfRule>
  </conditionalFormatting>
  <conditionalFormatting sqref="B22:C22">
    <cfRule type="expression" priority="16" aboveAverage="0" equalAverage="0" bottom="0" percent="0" rank="0" text="" dxfId="16">
      <formula>$L$22=0</formula>
    </cfRule>
  </conditionalFormatting>
  <conditionalFormatting sqref="A7:L7">
    <cfRule type="expression" priority="17" aboveAverage="0" equalAverage="0" bottom="0" percent="0" rank="0" text="" dxfId="17">
      <formula>IF($A$7="Zadejte název projektu",0,1)</formula>
    </cfRule>
  </conditionalFormatting>
  <conditionalFormatting sqref="A8:L8">
    <cfRule type="expression" priority="18" aboveAverage="0" equalAverage="0" bottom="0" percent="0" rank="0" text="" dxfId="18">
      <formula>IF($A$8="Zadejte název tlumiče",0,1)</formula>
    </cfRule>
  </conditionalFormatting>
  <printOptions headings="false" gridLines="false" gridLinesSet="true" horizontalCentered="true" verticalCentered="false"/>
  <pageMargins left="0.590277777777778" right="0.39375" top="0.7875" bottom="0.7875" header="0.511805555555555" footer="0.511805555555555"/>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
    <oddFooter>&amp;LQ199-01, revize 1.0 © Greif-akustika, s.r.o.&amp;R&amp;D | List &amp;P/&amp;N    </oddFooter>
  </headerFooter>
  <colBreaks count="1" manualBreakCount="1">
    <brk id="13" man="true" max="65535" min="0"/>
  </col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LibreOffice/6.4.5.2$Windows_X86_64 LibreOffice_project/a726b36747cf2001e06b58ad5db1aa3a9a1872d6</Application>
  <Company>Greif-akustika, s.r.o.</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2020-07-27T09:21:32Z</dcterms:created>
  <dc:creator/>
  <dc:description>Návrhový SW společnosti Greif-akustika, s.r.o.
Kontakt na autora: micka@greif.cz.
© Greif-akustika, s.r.o.; Všechna práva vyhrazena.</dc:description>
  <cp:keywords>Q199-01</cp:keywords>
  <dc:language>cs-CZ</dc:language>
  <cp:lastModifiedBy>Ing. Ladislav Mička</cp:lastModifiedBy>
  <cp:lastPrinted>2018-07-02T12:40:07Z</cp:lastPrinted>
  <dcterms:modified xsi:type="dcterms:W3CDTF">2018-11-02T08:43:33Z</dcterms:modified>
  <cp:revision>0</cp:revision>
  <dc:subject>ITS101-01, ITS102-01, ITS103-01</dc:subject>
  <dc:title>Návrh buňkových tlumičů GREIF</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Greif-akustika, s.r.o.</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Ing. Ladislav Mička</vt:lpwstr>
  </property>
  <property fmtid="{D5CDD505-2E9C-101B-9397-08002B2CF9AE}" pid="8" name="ScaleCrop">
    <vt:bool>0</vt:bool>
  </property>
  <property fmtid="{D5CDD505-2E9C-101B-9397-08002B2CF9AE}" pid="9" name="ShareDoc">
    <vt:bool>0</vt:bool>
  </property>
  <property fmtid="{D5CDD505-2E9C-101B-9397-08002B2CF9AE}" pid="10" name="category">
    <vt:lpwstr>Šablona</vt:lpwstr>
  </property>
  <property fmtid="{D5CDD505-2E9C-101B-9397-08002B2CF9AE}" pid="11" name="??slo dokumentu">
    <vt:lpwstr>Q130-02</vt:lpwstr>
  </property>
</Properties>
</file>