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codeName="ThisWorkbook"/>
  <mc:AlternateContent xmlns:mc="http://schemas.openxmlformats.org/markup-compatibility/2006">
    <mc:Choice Requires="x15">
      <x15ac:absPath xmlns:x15ac="http://schemas.microsoft.com/office/spreadsheetml/2010/11/ac" url="D:\OneDrive\Program\Excel\"/>
    </mc:Choice>
  </mc:AlternateContent>
  <xr:revisionPtr revIDLastSave="0" documentId="13_ncr:1_{4EBCC899-E445-45EE-A0A3-DDC43248C579}" xr6:coauthVersionLast="46" xr6:coauthVersionMax="46" xr10:uidLastSave="{00000000-0000-0000-0000-000000000000}"/>
  <bookViews>
    <workbookView xWindow="-120" yWindow="-120" windowWidth="38640" windowHeight="21240" tabRatio="378" activeTab="1" xr2:uid="{00000000-000D-0000-FFFF-FFFF00000000}"/>
  </bookViews>
  <sheets>
    <sheet name="INFO" sheetId="7" r:id="rId1"/>
    <sheet name="TLU-01" sheetId="5" r:id="rId2"/>
  </sheets>
  <definedNames>
    <definedName name="_xlnm.Print_Area" localSheetId="0">INFO!$A$1:$L$9,INFO!#REF!</definedName>
    <definedName name="_xlnm.Print_Area" localSheetId="1">'TLU-01'!$A$1:$L$41,'TLU-01'!$N$1:$Y$41</definedName>
  </definedNames>
  <calcPr calcId="191029"/>
</workbook>
</file>

<file path=xl/calcChain.xml><?xml version="1.0" encoding="utf-8"?>
<calcChain xmlns="http://schemas.openxmlformats.org/spreadsheetml/2006/main">
  <c r="AF150" i="5" l="1"/>
  <c r="AD150" i="5"/>
  <c r="AK150" i="5" s="1"/>
  <c r="AE150" i="5"/>
  <c r="AB150" i="5" l="1"/>
  <c r="AG150" i="5" s="1"/>
  <c r="AA150" i="5"/>
  <c r="AI150" i="5" l="1"/>
  <c r="L17" i="5"/>
  <c r="L16" i="5"/>
  <c r="E16" i="5" s="1"/>
  <c r="AK15" i="5" l="1"/>
  <c r="AJ15" i="5"/>
  <c r="AI15" i="5"/>
  <c r="AH15" i="5"/>
  <c r="AG15" i="5"/>
  <c r="AF15" i="5"/>
  <c r="AE15" i="5"/>
  <c r="AD15" i="5"/>
  <c r="AC15" i="5"/>
  <c r="AK11" i="5"/>
  <c r="AJ11" i="5"/>
  <c r="AI11" i="5"/>
  <c r="AH11" i="5"/>
  <c r="AG11" i="5"/>
  <c r="AF11" i="5"/>
  <c r="AE11" i="5"/>
  <c r="AD11" i="5"/>
  <c r="AC11" i="5"/>
  <c r="AK10" i="5"/>
  <c r="AJ10" i="5"/>
  <c r="AI10" i="5"/>
  <c r="AH10" i="5"/>
  <c r="AG10" i="5"/>
  <c r="AF10" i="5"/>
  <c r="AE10" i="5"/>
  <c r="AD10" i="5"/>
  <c r="AC10" i="5"/>
  <c r="AC22" i="5" l="1"/>
  <c r="AB22" i="5"/>
  <c r="AA22" i="5"/>
  <c r="AI22" i="5" s="1"/>
  <c r="AL22" i="5" l="1"/>
  <c r="L13" i="5"/>
  <c r="E13" i="5" s="1"/>
  <c r="AN22" i="5"/>
  <c r="AU22" i="5"/>
  <c r="AR22" i="5"/>
  <c r="AD22" i="5"/>
  <c r="AJ22" i="5"/>
  <c r="AO22" i="5"/>
  <c r="AS22" i="5"/>
  <c r="AG22" i="5"/>
  <c r="AK22" i="5"/>
  <c r="AP22" i="5"/>
  <c r="AT22" i="5"/>
  <c r="AH22" i="5"/>
  <c r="AM22" i="5"/>
  <c r="AQ22" i="5"/>
  <c r="AL10" i="5"/>
  <c r="AL11" i="5"/>
  <c r="Y12" i="5" s="1"/>
  <c r="L15" i="5"/>
  <c r="E15" i="5" s="1"/>
  <c r="AC150" i="5" l="1"/>
  <c r="AM150" i="5" l="1"/>
  <c r="AH150" i="5"/>
  <c r="N16" i="5"/>
  <c r="N14" i="5"/>
  <c r="N12" i="5"/>
  <c r="AJ150" i="5" l="1"/>
  <c r="AL150" i="5" s="1"/>
  <c r="AY150" i="5" s="1"/>
  <c r="L14" i="5"/>
  <c r="AS150" i="5" l="1"/>
  <c r="AV150" i="5"/>
  <c r="AX150" i="5"/>
  <c r="AQ150" i="5"/>
  <c r="AW150" i="5"/>
  <c r="AU150" i="5"/>
  <c r="AR150" i="5"/>
  <c r="AT150" i="5"/>
  <c r="E14" i="5"/>
  <c r="L19" i="5" l="1"/>
  <c r="E19" i="5" s="1"/>
  <c r="L18" i="5"/>
  <c r="E18" i="5" s="1"/>
  <c r="E17" i="5"/>
  <c r="L12" i="5"/>
  <c r="E12" i="5" l="1"/>
  <c r="L26" i="5"/>
  <c r="AK13" i="5" l="1"/>
  <c r="AG13" i="5"/>
  <c r="AC13" i="5"/>
  <c r="AJ13" i="5"/>
  <c r="AF13" i="5"/>
  <c r="AI13" i="5"/>
  <c r="AE13" i="5"/>
  <c r="AH13" i="5"/>
  <c r="AD13" i="5"/>
  <c r="AH12" i="5"/>
  <c r="H34" i="5" s="1"/>
  <c r="U13" i="5" s="1"/>
  <c r="AD12" i="5"/>
  <c r="D34" i="5" s="1"/>
  <c r="Q13" i="5" s="1"/>
  <c r="AK12" i="5"/>
  <c r="K34" i="5" s="1"/>
  <c r="X13" i="5" s="1"/>
  <c r="AG12" i="5"/>
  <c r="G34" i="5" s="1"/>
  <c r="T13" i="5" s="1"/>
  <c r="AC12" i="5"/>
  <c r="C34" i="5" s="1"/>
  <c r="P13" i="5" s="1"/>
  <c r="AJ12" i="5"/>
  <c r="J34" i="5" s="1"/>
  <c r="W13" i="5" s="1"/>
  <c r="AF12" i="5"/>
  <c r="F34" i="5" s="1"/>
  <c r="S13" i="5" s="1"/>
  <c r="AI12" i="5"/>
  <c r="I34" i="5" s="1"/>
  <c r="V13" i="5" s="1"/>
  <c r="AE12" i="5"/>
  <c r="E34" i="5" s="1"/>
  <c r="R13" i="5" s="1"/>
  <c r="J41" i="5"/>
  <c r="D40" i="5"/>
  <c r="J39" i="5"/>
  <c r="J40" i="5" s="1"/>
  <c r="D39" i="5"/>
  <c r="D38" i="5"/>
  <c r="L35" i="5"/>
  <c r="J38" i="5" s="1"/>
  <c r="B25" i="5"/>
  <c r="B22" i="5"/>
  <c r="B24" i="5" s="1"/>
  <c r="B26" i="5"/>
  <c r="B21" i="5"/>
  <c r="B20" i="5"/>
  <c r="D10" i="5"/>
  <c r="L24" i="5" l="1"/>
  <c r="E24" i="5" s="1"/>
  <c r="J35" i="5"/>
  <c r="H35" i="5"/>
  <c r="E35" i="5"/>
  <c r="G35" i="5"/>
  <c r="K35" i="5"/>
  <c r="C35" i="5"/>
  <c r="I35" i="5"/>
  <c r="F35" i="5"/>
  <c r="D35" i="5"/>
  <c r="B23" i="5"/>
  <c r="K11" i="5" s="1"/>
  <c r="F30" i="5" l="1"/>
  <c r="C30" i="5"/>
  <c r="G30" i="5"/>
  <c r="K30" i="5"/>
  <c r="I30" i="5"/>
  <c r="J30" i="5"/>
  <c r="D30" i="5"/>
  <c r="H30" i="5"/>
  <c r="E30" i="5"/>
  <c r="AH14" i="5" l="1"/>
  <c r="U14" i="5"/>
  <c r="AH16" i="5"/>
  <c r="X14" i="5"/>
  <c r="AK14" i="5"/>
  <c r="AK16" i="5"/>
  <c r="W14" i="5"/>
  <c r="AJ14" i="5"/>
  <c r="AJ16" i="5"/>
  <c r="AD14" i="5"/>
  <c r="Q14" i="5"/>
  <c r="AD16" i="5"/>
  <c r="T14" i="5"/>
  <c r="AG14" i="5"/>
  <c r="AG16" i="5"/>
  <c r="P14" i="5"/>
  <c r="AC14" i="5"/>
  <c r="AL13" i="5"/>
  <c r="AC16" i="5"/>
  <c r="AE14" i="5"/>
  <c r="R14" i="5"/>
  <c r="AE16" i="5"/>
  <c r="AI14" i="5"/>
  <c r="V14" i="5"/>
  <c r="AI16" i="5"/>
  <c r="S14" i="5"/>
  <c r="AF14" i="5"/>
  <c r="AF16" i="5"/>
  <c r="AD17" i="5" l="1"/>
  <c r="Q16" i="5"/>
  <c r="AD18" i="5"/>
  <c r="Q17" i="5" s="1"/>
  <c r="AF17" i="5"/>
  <c r="S16" i="5" s="1"/>
  <c r="AC17" i="5"/>
  <c r="P16" i="5"/>
  <c r="AC18" i="5"/>
  <c r="P17" i="5" s="1"/>
  <c r="AL16" i="5"/>
  <c r="AG17" i="5"/>
  <c r="T16" i="5"/>
  <c r="AG18" i="5"/>
  <c r="T17" i="5" s="1"/>
  <c r="AH17" i="5"/>
  <c r="U16" i="5" s="1"/>
  <c r="AE17" i="5"/>
  <c r="AE18" i="5" s="1"/>
  <c r="R17" i="5" s="1"/>
  <c r="R16" i="5"/>
  <c r="AK17" i="5"/>
  <c r="X16" i="5" s="1"/>
  <c r="AK18" i="5"/>
  <c r="X17" i="5" s="1"/>
  <c r="AI17" i="5"/>
  <c r="V16" i="5"/>
  <c r="AI18" i="5"/>
  <c r="V17" i="5" s="1"/>
  <c r="AL14" i="5"/>
  <c r="L30" i="5" s="1"/>
  <c r="AJ17" i="5"/>
  <c r="W16" i="5"/>
  <c r="AJ18" i="5"/>
  <c r="W17" i="5" s="1"/>
  <c r="AH18" i="5" l="1"/>
  <c r="U17" i="5" s="1"/>
  <c r="AF18" i="5"/>
  <c r="S17" i="5" s="1"/>
  <c r="AL17" i="5"/>
  <c r="Y16" i="5" s="1"/>
  <c r="Y17" i="5" s="1"/>
  <c r="Y1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Ing. Ladislav Mička</author>
    <author>Ladislav Mička</author>
  </authors>
  <commentList>
    <comment ref="Y10" authorId="0" shapeId="0" xr:uid="{00000000-0006-0000-0100-000001000000}">
      <text>
        <r>
          <rPr>
            <b/>
            <sz val="9"/>
            <color indexed="81"/>
            <rFont val="Tahoma"/>
            <family val="2"/>
            <charset val="238"/>
          </rPr>
          <t>Typ akustického výkonu</t>
        </r>
        <r>
          <rPr>
            <sz val="9"/>
            <color indexed="81"/>
            <rFont val="Tahoma"/>
            <family val="2"/>
            <charset val="238"/>
          </rPr>
          <t xml:space="preserve">
Určete, zdali budete počítat s lineárním spektrem, nebo budete zadávat spektrum korigované filtrem "A".
Zadejte "</t>
        </r>
        <r>
          <rPr>
            <b/>
            <sz val="9"/>
            <color indexed="81"/>
            <rFont val="Tahoma"/>
            <family val="2"/>
            <charset val="238"/>
          </rPr>
          <t>L</t>
        </r>
        <r>
          <rPr>
            <sz val="9"/>
            <color indexed="81"/>
            <rFont val="Tahoma"/>
            <family val="2"/>
            <charset val="238"/>
          </rPr>
          <t>" - pro výpočet s nekorigovaným spektrem (Lineárním)
Zadejte "</t>
        </r>
        <r>
          <rPr>
            <b/>
            <sz val="9"/>
            <color indexed="81"/>
            <rFont val="Tahoma"/>
            <family val="2"/>
            <charset val="238"/>
          </rPr>
          <t>A</t>
        </r>
        <r>
          <rPr>
            <sz val="9"/>
            <color indexed="81"/>
            <rFont val="Tahoma"/>
            <family val="2"/>
            <charset val="238"/>
          </rPr>
          <t>" - pro výpočet se spektrem, které je již korigováno filtrem "A"</t>
        </r>
      </text>
    </comment>
    <comment ref="K11" authorId="1" shapeId="0" xr:uid="{00000000-0006-0000-0100-000002000000}">
      <text>
        <r>
          <rPr>
            <b/>
            <sz val="9"/>
            <color indexed="81"/>
            <rFont val="Tahoma"/>
            <family val="2"/>
            <charset val="238"/>
          </rPr>
          <t>Tlaková ztráta tlumiče</t>
        </r>
        <r>
          <rPr>
            <sz val="9"/>
            <color indexed="81"/>
            <rFont val="Tahoma"/>
            <family val="2"/>
            <charset val="238"/>
          </rPr>
          <t xml:space="preserve">
Tlaková ztráta tlumiče hluku způsobená prouděním vzduchu při daných podmínkách (průtok, tlak a teplota).</t>
        </r>
      </text>
    </comment>
    <comment ref="N11" authorId="1" shapeId="0" xr:uid="{00000000-0006-0000-0100-000003000000}">
      <text>
        <r>
          <rPr>
            <b/>
            <sz val="9"/>
            <color indexed="81"/>
            <rFont val="Tahoma"/>
            <family val="2"/>
            <charset val="238"/>
          </rPr>
          <t>Výpočtová frekvence</t>
        </r>
        <r>
          <rPr>
            <sz val="9"/>
            <color indexed="81"/>
            <rFont val="Tahoma"/>
            <family val="2"/>
            <charset val="238"/>
          </rPr>
          <t xml:space="preserve">
Standardní rozsah pro výpočty v oktávovém pásmu.</t>
        </r>
      </text>
    </comment>
    <comment ref="B12" authorId="0" shapeId="0" xr:uid="{00000000-0006-0000-0100-000004000000}">
      <text>
        <r>
          <rPr>
            <b/>
            <sz val="9"/>
            <color indexed="81"/>
            <rFont val="Tahoma"/>
            <family val="2"/>
            <charset val="238"/>
          </rPr>
          <t xml:space="preserve">Průtok vzduchu
</t>
        </r>
        <r>
          <rPr>
            <sz val="9"/>
            <color indexed="81"/>
            <rFont val="Tahoma"/>
            <family val="2"/>
            <charset val="238"/>
          </rPr>
          <t>Zadejte průtok vzduchu, který prochází celým tlumičem hluku.</t>
        </r>
      </text>
    </comment>
    <comment ref="N12" authorId="0" shapeId="0" xr:uid="{00000000-0006-0000-0100-000005000000}">
      <text>
        <r>
          <rPr>
            <sz val="9"/>
            <color indexed="81"/>
            <rFont val="Tahoma"/>
            <family val="2"/>
            <charset val="238"/>
          </rPr>
          <t>Akustický výkon zdroje hluku šířený do sacího, resp. výtlačného potrubí vyjádřený ve frekvenčních pásmech f a součtovou hodnotou korigovanou filtrem A.</t>
        </r>
      </text>
    </comment>
    <comment ref="B13" authorId="1" shapeId="0" xr:uid="{00000000-0006-0000-0100-000006000000}">
      <text>
        <r>
          <rPr>
            <b/>
            <sz val="9"/>
            <color indexed="81"/>
            <rFont val="Tahoma"/>
            <family val="2"/>
            <charset val="238"/>
          </rPr>
          <t xml:space="preserve">Nominální průměr tlumiče
</t>
        </r>
        <r>
          <rPr>
            <sz val="9"/>
            <color indexed="81"/>
            <rFont val="Tahoma"/>
            <family val="2"/>
            <charset val="238"/>
          </rPr>
          <t>Pro tlumiče typu GD:
100, 125, 140, 150, 160, 180, 200, 224, 250, 280, 300, 315, 355, 400, 450, 500, 560, 600, 630, 710, 800, 900, 1000
Pro tlumiče typu GDE:
200, 224, 250, 280, 300, 315, 355, 400, 450, 500, 560, 600, 630, 710, 800, 900, 1000
Blíže viz katalog ITS122-01 Kruhové tlumiče GD dostupný na www.greif.cz.</t>
        </r>
      </text>
    </comment>
    <comment ref="N13" authorId="1" shapeId="0" xr:uid="{00000000-0006-0000-0100-000007000000}">
      <text>
        <r>
          <rPr>
            <b/>
            <sz val="9"/>
            <color indexed="81"/>
            <rFont val="Tahoma"/>
            <family val="2"/>
            <charset val="238"/>
          </rPr>
          <t>Vložný útlum hluku</t>
        </r>
        <r>
          <rPr>
            <sz val="9"/>
            <color indexed="81"/>
            <rFont val="Tahoma"/>
            <family val="2"/>
            <charset val="238"/>
          </rPr>
          <t xml:space="preserve">
Rozdíl mezi hladinou akustického výkonu šířeného potrubím bez tlumiče a hladinou akustického výkonu s tlumičem hluku (měřeno ve shodném bodě).
Útlum hluku je zadáván jako kladná hodnota se znaménkem "+".</t>
        </r>
      </text>
    </comment>
    <comment ref="B14" authorId="1" shapeId="0" xr:uid="{00000000-0006-0000-0100-000008000000}">
      <text>
        <r>
          <rPr>
            <b/>
            <sz val="9"/>
            <color indexed="81"/>
            <rFont val="Tahoma"/>
            <family val="2"/>
            <charset val="238"/>
          </rPr>
          <t xml:space="preserve">Celková délka tlumiče
</t>
        </r>
        <r>
          <rPr>
            <sz val="9"/>
            <color indexed="81"/>
            <rFont val="Tahoma"/>
            <family val="2"/>
            <charset val="238"/>
          </rPr>
          <t>Délka aktivní části tlumiče.
Zadejte standardní rozměry 1000, 1500 nebo 2000 mm.
V případě potřeby atypické délky tlumiče kontaktujte naší technickou podporu na www.greif.cz.</t>
        </r>
      </text>
    </comment>
    <comment ref="N14" authorId="1" shapeId="0" xr:uid="{00000000-0006-0000-0100-000009000000}">
      <text>
        <r>
          <rPr>
            <sz val="9"/>
            <color indexed="81"/>
            <rFont val="Tahoma"/>
            <family val="2"/>
            <charset val="238"/>
          </rPr>
          <t>Vlastní hluk tlumiče generovaný prouděním vzduchu uvnitř tlumiče, vyjádřený pomocí hladiny akustického výkonu v oktávových pásmech f a součtovou hladinou korigovanou filtrem A.</t>
        </r>
      </text>
    </comment>
    <comment ref="B15" authorId="0" shapeId="0" xr:uid="{00000000-0006-0000-0100-00000A000000}">
      <text>
        <r>
          <rPr>
            <b/>
            <sz val="9"/>
            <color indexed="81"/>
            <rFont val="Tahoma"/>
            <family val="2"/>
            <charset val="238"/>
          </rPr>
          <t>Typ kruhového tlumiče:</t>
        </r>
        <r>
          <rPr>
            <sz val="9"/>
            <color indexed="81"/>
            <rFont val="Tahoma"/>
            <family val="2"/>
            <charset val="238"/>
          </rPr>
          <t xml:space="preserve">
Zadejte typ tlumiče "GD" nebo "GDE".
GD - provedení bez jádra
GDE - provedení s jádrem (zvýšený útlum hluku a vyšší tlaková ztráta)</t>
        </r>
      </text>
    </comment>
    <comment ref="N15" authorId="1" shapeId="0" xr:uid="{00000000-0006-0000-0100-00000B000000}">
      <text>
        <r>
          <rPr>
            <b/>
            <sz val="9"/>
            <color indexed="81"/>
            <rFont val="Tahoma"/>
            <family val="2"/>
            <charset val="238"/>
          </rPr>
          <t xml:space="preserve">Útlum hluku v potrubí
</t>
        </r>
        <r>
          <rPr>
            <sz val="9"/>
            <color indexed="81"/>
            <rFont val="Tahoma"/>
            <family val="2"/>
            <charset val="238"/>
          </rPr>
          <t>Uživatelsky definovaný, dodatečný útlum hluku, přičtený k útlumu tlumiče.
Lze zadat např. útlum hluku dalším tlumičem, kolenem, dlouhým potrubím apod.
Útlum hluku je zadáván jako kladná hodnota se znaménkem "+".</t>
        </r>
      </text>
    </comment>
    <comment ref="B16" authorId="0" shapeId="0" xr:uid="{00000000-0006-0000-0100-00000C000000}">
      <text>
        <r>
          <rPr>
            <b/>
            <sz val="9"/>
            <color indexed="81"/>
            <rFont val="Tahoma"/>
            <family val="2"/>
            <charset val="238"/>
          </rPr>
          <t xml:space="preserve">Provedení nátrubku:
</t>
        </r>
        <r>
          <rPr>
            <sz val="9"/>
            <color indexed="81"/>
            <rFont val="Tahoma"/>
            <family val="2"/>
            <charset val="238"/>
          </rPr>
          <t>0 - hladké nátrubky pro připojení na spiro potrubí (standard)
1 - lisované příruby na obou stranách tlumiče
2 - příruby a protipříruby</t>
        </r>
      </text>
    </comment>
    <comment ref="N16" authorId="1" shapeId="0" xr:uid="{00000000-0006-0000-0100-00000D000000}">
      <text>
        <r>
          <rPr>
            <b/>
            <sz val="9"/>
            <color indexed="81"/>
            <rFont val="Tahoma"/>
            <family val="2"/>
            <charset val="238"/>
          </rPr>
          <t>Akustický výkon zatlumeného zdroje</t>
        </r>
        <r>
          <rPr>
            <sz val="9"/>
            <color indexed="81"/>
            <rFont val="Tahoma"/>
            <family val="2"/>
            <charset val="238"/>
          </rPr>
          <t xml:space="preserve">
Výsledný akustický výkon, zahrnující útlum hluku tlumičem DT a uživatelský útlum hluku DP, zhoršený o vlastní hluk tlumiče LWT (proudění vzduchu).
Tato hodnota je akustický výkon a nelze jí porovnávat s hygienicky přípustnými hodnotami hluku. Pro porovnání je nutné akustický výkon přepočítat na akustický tlak. Tento přepočet je závislý na místních podmínkách. Pro přepočet je možné použít výpočty na našich internetových stránkách v sekci Průvodce / Profesionál, nebo kontaktovat naší technickou podporu.
</t>
        </r>
      </text>
    </comment>
    <comment ref="B17" authorId="0" shapeId="0" xr:uid="{00000000-0006-0000-0100-00000E000000}">
      <text>
        <r>
          <rPr>
            <b/>
            <sz val="9"/>
            <color indexed="81"/>
            <rFont val="Tahoma"/>
            <family val="2"/>
            <charset val="238"/>
          </rPr>
          <t xml:space="preserve">Teplota vzduchu
</t>
        </r>
        <r>
          <rPr>
            <sz val="9"/>
            <color indexed="81"/>
            <rFont val="Tahoma"/>
            <family val="2"/>
            <charset val="238"/>
          </rPr>
          <t xml:space="preserve">Teplota vzduchu na vstupu do tlumiče hluku.
</t>
        </r>
      </text>
    </comment>
    <comment ref="N17" authorId="1" shapeId="0" xr:uid="{00000000-0006-0000-0100-00000F000000}">
      <text>
        <r>
          <rPr>
            <b/>
            <sz val="9"/>
            <color indexed="81"/>
            <rFont val="Tahoma"/>
            <family val="2"/>
            <charset val="238"/>
          </rPr>
          <t>Celkový dosažený útlum hluku</t>
        </r>
        <r>
          <rPr>
            <sz val="9"/>
            <color indexed="81"/>
            <rFont val="Tahoma"/>
            <family val="2"/>
            <charset val="238"/>
          </rPr>
          <t xml:space="preserve">
Útlum hluku dosažený tlumičem DT a potrubní trasou DP, zhoršený o vlastní hluk tlumiče LWT.
</t>
        </r>
        <r>
          <rPr>
            <b/>
            <sz val="9"/>
            <color indexed="81"/>
            <rFont val="Tahoma"/>
            <family val="2"/>
            <charset val="238"/>
          </rPr>
          <t>Dc = LWz - LWc</t>
        </r>
        <r>
          <rPr>
            <sz val="9"/>
            <color indexed="81"/>
            <rFont val="Tahoma"/>
            <family val="2"/>
            <charset val="238"/>
          </rPr>
          <t xml:space="preserve">
V případě, že je útlum hluku záporný "-", dochází na příslušné frekvenci k zesílení vlivem vlastního hluku tlumiče.</t>
        </r>
      </text>
    </comment>
    <comment ref="B18" authorId="0" shapeId="0" xr:uid="{00000000-0006-0000-0100-000010000000}">
      <text>
        <r>
          <rPr>
            <b/>
            <sz val="9"/>
            <color indexed="81"/>
            <rFont val="Tahoma"/>
            <family val="2"/>
            <charset val="238"/>
          </rPr>
          <t xml:space="preserve">Statický tlak v potrubí
</t>
        </r>
        <r>
          <rPr>
            <sz val="9"/>
            <color indexed="81"/>
            <rFont val="Tahoma"/>
            <family val="2"/>
            <charset val="238"/>
          </rPr>
          <t>Statický tlak v potrubí v místě tlumiče hluku.
"Normální" tlak je 101325 Pa.</t>
        </r>
      </text>
    </comment>
    <comment ref="B19" authorId="0" shapeId="0" xr:uid="{00000000-0006-0000-0100-000011000000}">
      <text>
        <r>
          <rPr>
            <b/>
            <sz val="9"/>
            <color indexed="81"/>
            <rFont val="Tahoma"/>
            <family val="2"/>
            <charset val="238"/>
          </rPr>
          <t>Rezerva na místní podmínky</t>
        </r>
        <r>
          <rPr>
            <sz val="9"/>
            <color indexed="81"/>
            <rFont val="Tahoma"/>
            <family val="2"/>
            <charset val="238"/>
          </rPr>
          <t xml:space="preserve">
Zadejte rezervu ve výpočtu tlakové ztráty v [%].
Doporučené rezervy:
0% - ideální rovnoměrné zaplavení (např. sání s dýzou);
10% - tlumič na sání bez dýzy;
20% - standardní reserva (běžná vzduchotechnika);
40% - umístění tlumiče za kolenem (špatné zaplavení).</t>
        </r>
      </text>
    </comment>
    <comment ref="AK25" authorId="0" shapeId="0" xr:uid="{00000000-0006-0000-0100-000012000000}">
      <text>
        <r>
          <rPr>
            <sz val="9"/>
            <color indexed="81"/>
            <rFont val="Tahoma"/>
            <family val="2"/>
            <charset val="238"/>
          </rPr>
          <t xml:space="preserve">Základní cena bez rabatu
</t>
        </r>
      </text>
    </comment>
    <comment ref="AL25" authorId="0" shapeId="0" xr:uid="{00000000-0006-0000-0100-000013000000}">
      <text>
        <r>
          <rPr>
            <sz val="9"/>
            <color indexed="81"/>
            <rFont val="Tahoma"/>
            <family val="2"/>
            <charset val="238"/>
          </rPr>
          <t xml:space="preserve">Cena za příruby
</t>
        </r>
      </text>
    </comment>
    <comment ref="A29" authorId="1" shapeId="0" xr:uid="{00000000-0006-0000-0100-000014000000}">
      <text>
        <r>
          <rPr>
            <b/>
            <sz val="9"/>
            <color indexed="81"/>
            <rFont val="Tahoma"/>
            <family val="2"/>
            <charset val="238"/>
          </rPr>
          <t>Výpočtová frekvence</t>
        </r>
        <r>
          <rPr>
            <sz val="9"/>
            <color indexed="81"/>
            <rFont val="Tahoma"/>
            <family val="2"/>
            <charset val="238"/>
          </rPr>
          <t xml:space="preserve">
Standardní rozsah pro výpočty v oktávovém pásmu.</t>
        </r>
      </text>
    </comment>
    <comment ref="L29" authorId="0" shapeId="0" xr:uid="{00000000-0006-0000-0100-000015000000}">
      <text>
        <r>
          <rPr>
            <b/>
            <sz val="9"/>
            <color indexed="81"/>
            <rFont val="Tahoma"/>
            <family val="2"/>
            <charset val="238"/>
          </rPr>
          <t>Vlastní hluk tlumiče</t>
        </r>
        <r>
          <rPr>
            <sz val="9"/>
            <color indexed="81"/>
            <rFont val="Tahoma"/>
            <family val="2"/>
            <charset val="238"/>
          </rPr>
          <t xml:space="preserve">
Součtová hladina akustického výkonu vlastního hluku tlumiče korigovaná filtrem "A".</t>
        </r>
      </text>
    </comment>
    <comment ref="A30" authorId="1" shapeId="0" xr:uid="{00000000-0006-0000-0100-000016000000}">
      <text>
        <r>
          <rPr>
            <b/>
            <sz val="9"/>
            <color indexed="81"/>
            <rFont val="Tahoma"/>
            <family val="2"/>
            <charset val="238"/>
          </rPr>
          <t xml:space="preserve">Vlastní hluk tlumiče
</t>
        </r>
        <r>
          <rPr>
            <sz val="9"/>
            <color indexed="81"/>
            <rFont val="Tahoma"/>
            <family val="2"/>
            <charset val="238"/>
          </rPr>
          <t>Hluk generovaný prouděním vzduchu uvnitř tlumiče, vyjádřený pomocí hladiny akustického výkonu v oktávových pásmech.</t>
        </r>
      </text>
    </comment>
    <comment ref="A33" authorId="1" shapeId="0" xr:uid="{00000000-0006-0000-0100-000017000000}">
      <text>
        <r>
          <rPr>
            <b/>
            <sz val="9"/>
            <color indexed="81"/>
            <rFont val="Tahoma"/>
            <family val="2"/>
            <charset val="238"/>
          </rPr>
          <t>Výpočtová frekvence</t>
        </r>
        <r>
          <rPr>
            <sz val="9"/>
            <color indexed="81"/>
            <rFont val="Tahoma"/>
            <family val="2"/>
            <charset val="238"/>
          </rPr>
          <t xml:space="preserve">
Standardní rozsah pro výpočty v oktávovém pásmu.</t>
        </r>
      </text>
    </comment>
    <comment ref="L33" authorId="0" shapeId="0" xr:uid="{00000000-0006-0000-0100-000018000000}">
      <text>
        <r>
          <rPr>
            <b/>
            <sz val="9"/>
            <color indexed="81"/>
            <rFont val="Tahoma"/>
            <family val="2"/>
            <charset val="238"/>
          </rPr>
          <t>Hmotnost tlumiče</t>
        </r>
        <r>
          <rPr>
            <sz val="9"/>
            <color indexed="81"/>
            <rFont val="Tahoma"/>
            <family val="2"/>
            <charset val="238"/>
          </rPr>
          <t xml:space="preserve">
Celková hmotnost tlumiče včetně přírub.</t>
        </r>
      </text>
    </comment>
    <comment ref="A34" authorId="1" shapeId="0" xr:uid="{00000000-0006-0000-0100-000019000000}">
      <text>
        <r>
          <rPr>
            <b/>
            <sz val="9"/>
            <color indexed="81"/>
            <rFont val="Tahoma"/>
            <family val="2"/>
            <charset val="238"/>
          </rPr>
          <t>Vložný útlum hluku</t>
        </r>
        <r>
          <rPr>
            <sz val="9"/>
            <color indexed="81"/>
            <rFont val="Tahoma"/>
            <family val="2"/>
            <charset val="238"/>
          </rPr>
          <t xml:space="preserve">
Rozdíl mezi hladinou akustického výkonu šířeného potrubím bez tlumiče a hladinou akustického výkonu s tlumičem hluku (měřeno ve shodném bodě). Útlumy hluku jsou stanoveny pro teplotní rozsah -20 až +50°C.
Útlumy hluku tlumičů v délce nad 2000 mm jsou dostupné na vyžádání. Kontaktujte technickou podporu na www.greif.cz.</t>
        </r>
      </text>
    </comment>
    <comment ref="A35" authorId="1" shapeId="0" xr:uid="{00000000-0006-0000-0100-00001A000000}">
      <text>
        <r>
          <rPr>
            <b/>
            <sz val="9"/>
            <color indexed="81"/>
            <rFont val="Tahoma"/>
            <family val="2"/>
            <charset val="238"/>
          </rPr>
          <t xml:space="preserve">Rozšířená směrodatná odchylka reprodukovatelnosti
</t>
        </r>
        <r>
          <rPr>
            <sz val="9"/>
            <color indexed="81"/>
            <rFont val="Tahoma"/>
            <family val="2"/>
            <charset val="238"/>
          </rPr>
          <t>Nejistota měření stanovená dle ČSN EN ISO 5136 Akustika - Určování hladin akustického výkonu vyzařovaného do potrubí… Směrodatná odchylka přihlíží ke společnému působení všech příčin majících vliv na přesnost měření. Při normálním statistickém rozdělení dat leží 95 % měřených výsledků právě v rozmezí 2sigR. Je na projektantovi, jak posoudí rizikovaost instalace a jakou míru rizika do výpočtu zapracuje.</t>
        </r>
      </text>
    </comment>
    <comment ref="D38" authorId="1" shapeId="0" xr:uid="{00000000-0006-0000-0100-00001B000000}">
      <text>
        <r>
          <rPr>
            <b/>
            <sz val="9"/>
            <color indexed="81"/>
            <rFont val="Tahoma"/>
            <family val="2"/>
            <charset val="238"/>
          </rPr>
          <t>Objednávkový kód tlumiče</t>
        </r>
        <r>
          <rPr>
            <sz val="9"/>
            <color indexed="81"/>
            <rFont val="Tahoma"/>
            <family val="2"/>
            <charset val="238"/>
          </rPr>
          <t xml:space="preserve">
Uvedeno pouze pro standardní typy dle interního standardu ITS122-01.</t>
        </r>
      </text>
    </comment>
    <comment ref="J38" authorId="0" shapeId="0" xr:uid="{00000000-0006-0000-0100-00001C000000}">
      <text>
        <r>
          <rPr>
            <b/>
            <sz val="9"/>
            <color indexed="81"/>
            <rFont val="Tahoma"/>
            <family val="2"/>
            <charset val="238"/>
          </rPr>
          <t xml:space="preserve">Hmotnost tlumiče
</t>
        </r>
        <r>
          <rPr>
            <sz val="9"/>
            <color indexed="81"/>
            <rFont val="Tahoma"/>
            <family val="2"/>
            <charset val="238"/>
          </rPr>
          <t>Celková hmotnost tlumiče včetně přírub a protipřírub (jsou-li součástí tlumiče).</t>
        </r>
      </text>
    </comment>
    <comment ref="D39" authorId="1" shapeId="0" xr:uid="{00000000-0006-0000-0100-00001D000000}">
      <text>
        <r>
          <rPr>
            <b/>
            <sz val="9"/>
            <color indexed="81"/>
            <rFont val="Tahoma"/>
            <family val="2"/>
            <charset val="238"/>
          </rPr>
          <t>Nominální průměr tlumiče</t>
        </r>
        <r>
          <rPr>
            <sz val="9"/>
            <color indexed="81"/>
            <rFont val="Tahoma"/>
            <family val="2"/>
            <charset val="238"/>
          </rPr>
          <t xml:space="preserve">
Připojovací průměr tlumiče na potrubí.</t>
        </r>
      </text>
    </comment>
    <comment ref="J39" authorId="0" shapeId="0" xr:uid="{00000000-0006-0000-0100-00001E000000}">
      <text>
        <r>
          <rPr>
            <b/>
            <sz val="9"/>
            <color indexed="81"/>
            <rFont val="Tahoma"/>
            <family val="2"/>
            <charset val="238"/>
          </rPr>
          <t xml:space="preserve">Délka aktivní části tlumiče
</t>
        </r>
        <r>
          <rPr>
            <sz val="9"/>
            <color indexed="81"/>
            <rFont val="Tahoma"/>
            <family val="2"/>
            <charset val="238"/>
          </rPr>
          <t xml:space="preserve">Délka válcové části tlumiče, která zajišťuje tlumení hluku.
</t>
        </r>
      </text>
    </comment>
    <comment ref="D40" authorId="0" shapeId="0" xr:uid="{00000000-0006-0000-0100-00001F000000}">
      <text>
        <r>
          <rPr>
            <b/>
            <sz val="9"/>
            <color indexed="81"/>
            <rFont val="Tahoma"/>
            <family val="2"/>
            <charset val="238"/>
          </rPr>
          <t xml:space="preserve">Vnější průměr tlumiče
</t>
        </r>
        <r>
          <rPr>
            <sz val="9"/>
            <color indexed="81"/>
            <rFont val="Tahoma"/>
            <family val="2"/>
            <charset val="238"/>
          </rPr>
          <t xml:space="preserve">Jedná se o vnější průměr válcové části tlumiče.
</t>
        </r>
      </text>
    </comment>
    <comment ref="J40" authorId="0" shapeId="0" xr:uid="{00000000-0006-0000-0100-000020000000}">
      <text>
        <r>
          <rPr>
            <b/>
            <sz val="9"/>
            <color indexed="81"/>
            <rFont val="Tahoma"/>
            <family val="2"/>
            <charset val="238"/>
          </rPr>
          <t xml:space="preserve">Celková délka tlumiče
</t>
        </r>
        <r>
          <rPr>
            <sz val="9"/>
            <color indexed="81"/>
            <rFont val="Tahoma"/>
            <family val="2"/>
            <charset val="238"/>
          </rPr>
          <t>Délka tlumiče včetně nátrubků na obou stranách.</t>
        </r>
        <r>
          <rPr>
            <b/>
            <sz val="9"/>
            <color indexed="81"/>
            <rFont val="Tahoma"/>
            <family val="2"/>
            <charset val="238"/>
          </rPr>
          <t xml:space="preserve">
</t>
        </r>
        <r>
          <rPr>
            <sz val="9"/>
            <color indexed="81"/>
            <rFont val="Tahoma"/>
            <family val="2"/>
            <charset val="238"/>
          </rPr>
          <t xml:space="preserve">
</t>
        </r>
      </text>
    </comment>
    <comment ref="J41" authorId="0" shapeId="0" xr:uid="{00000000-0006-0000-0100-000021000000}">
      <text>
        <r>
          <rPr>
            <b/>
            <sz val="9"/>
            <color indexed="81"/>
            <rFont val="Tahoma"/>
            <family val="2"/>
            <charset val="238"/>
          </rPr>
          <t xml:space="preserve">Celková cena tlumiče
</t>
        </r>
        <r>
          <rPr>
            <sz val="9"/>
            <color indexed="81"/>
            <rFont val="Tahoma"/>
            <family val="2"/>
            <charset val="238"/>
          </rPr>
          <t>Jedná se o celkovou cenu tlumiče včetně příruba a protipřírub.
Cena je brutto v Kč, bez DPH, EXW Uhlířské Janovice, nebo Praha.
O výši rabatu se prosím informujte (www.greif.cz).</t>
        </r>
      </text>
    </comment>
  </commentList>
</comments>
</file>

<file path=xl/sharedStrings.xml><?xml version="1.0" encoding="utf-8"?>
<sst xmlns="http://schemas.openxmlformats.org/spreadsheetml/2006/main" count="433" uniqueCount="232">
  <si>
    <t>=</t>
  </si>
  <si>
    <t>Q</t>
  </si>
  <si>
    <t>S</t>
  </si>
  <si>
    <t>c</t>
  </si>
  <si>
    <t>w</t>
  </si>
  <si>
    <t>f</t>
  </si>
  <si>
    <t>L</t>
  </si>
  <si>
    <t>Ma</t>
  </si>
  <si>
    <t>p</t>
  </si>
  <si>
    <t>H</t>
  </si>
  <si>
    <t>delta</t>
  </si>
  <si>
    <t>B</t>
  </si>
  <si>
    <t>ro</t>
  </si>
  <si>
    <t>res</t>
  </si>
  <si>
    <t>typ</t>
  </si>
  <si>
    <t>t</t>
  </si>
  <si>
    <t>Tlaková ztráta:</t>
  </si>
  <si>
    <t>Vlastní hluk:</t>
  </si>
  <si>
    <t>hustota vzduchu</t>
  </si>
  <si>
    <t>Zadejte název projektu</t>
  </si>
  <si>
    <t>Zadejte název tlumiče</t>
  </si>
  <si>
    <t>rychlost zvuku ve vzduchu při teplotě t</t>
  </si>
  <si>
    <t>-</t>
  </si>
  <si>
    <t>A</t>
  </si>
  <si>
    <r>
      <t>w</t>
    </r>
    <r>
      <rPr>
        <b/>
        <sz val="8"/>
        <rFont val="Arial Narrow"/>
        <family val="2"/>
        <charset val="238"/>
      </rPr>
      <t>i</t>
    </r>
  </si>
  <si>
    <r>
      <t>D</t>
    </r>
    <r>
      <rPr>
        <b/>
        <sz val="8"/>
        <rFont val="Arial Narrow"/>
        <family val="2"/>
        <charset val="238"/>
      </rPr>
      <t>T</t>
    </r>
  </si>
  <si>
    <r>
      <t>D</t>
    </r>
    <r>
      <rPr>
        <b/>
        <sz val="8"/>
        <rFont val="Arial Narrow"/>
        <family val="2"/>
        <charset val="238"/>
      </rPr>
      <t>P</t>
    </r>
  </si>
  <si>
    <t>Zadejte žlutá pole, nebo vepište poznámky…</t>
  </si>
  <si>
    <t>Typ</t>
  </si>
  <si>
    <t>Délka</t>
  </si>
  <si>
    <t>Korekční křivka:</t>
  </si>
  <si>
    <t>Závěrečné shrnutí výsledků:</t>
  </si>
  <si>
    <t>2sigR</t>
  </si>
  <si>
    <t>M</t>
  </si>
  <si>
    <r>
      <t>D</t>
    </r>
    <r>
      <rPr>
        <b/>
        <sz val="8"/>
        <rFont val="Arial Narrow"/>
        <family val="2"/>
        <charset val="238"/>
      </rPr>
      <t>C</t>
    </r>
  </si>
  <si>
    <t>Váha</t>
  </si>
  <si>
    <r>
      <t>dp</t>
    </r>
    <r>
      <rPr>
        <b/>
        <sz val="8"/>
        <rFont val="Arial Narrow"/>
        <family val="2"/>
        <charset val="238"/>
      </rPr>
      <t>t</t>
    </r>
  </si>
  <si>
    <r>
      <t>D</t>
    </r>
    <r>
      <rPr>
        <sz val="8"/>
        <rFont val="Arial Narrow"/>
        <family val="2"/>
        <charset val="238"/>
      </rPr>
      <t>T</t>
    </r>
  </si>
  <si>
    <t>SUM</t>
  </si>
  <si>
    <t>Zatlumení zdroje - koncepce výpočtu:</t>
  </si>
  <si>
    <t>Hladiny hluku:</t>
  </si>
  <si>
    <t>Data katalog:</t>
  </si>
  <si>
    <t>Podmínky výběru:</t>
  </si>
  <si>
    <r>
      <t>L</t>
    </r>
    <r>
      <rPr>
        <sz val="9"/>
        <rFont val="Arial Narrow"/>
        <family val="2"/>
        <charset val="238"/>
      </rPr>
      <t>WZ-A</t>
    </r>
  </si>
  <si>
    <r>
      <t>L</t>
    </r>
    <r>
      <rPr>
        <sz val="8"/>
        <rFont val="Arial Narrow"/>
        <family val="2"/>
        <charset val="238"/>
      </rPr>
      <t>WT-A</t>
    </r>
  </si>
  <si>
    <r>
      <t>D</t>
    </r>
    <r>
      <rPr>
        <sz val="8"/>
        <rFont val="Arial Narrow"/>
        <family val="2"/>
        <charset val="238"/>
      </rPr>
      <t>P</t>
    </r>
  </si>
  <si>
    <r>
      <t>L</t>
    </r>
    <r>
      <rPr>
        <sz val="8"/>
        <rFont val="Arial Narrow"/>
        <family val="2"/>
        <charset val="238"/>
      </rPr>
      <t>WC-A</t>
    </r>
  </si>
  <si>
    <r>
      <t>D</t>
    </r>
    <r>
      <rPr>
        <sz val="8"/>
        <rFont val="Arial Narrow"/>
        <family val="2"/>
        <charset val="238"/>
      </rPr>
      <t>C</t>
    </r>
  </si>
  <si>
    <t>Graf - [dB / Hz]:</t>
  </si>
  <si>
    <t>Zatlumení zdroje - výpočet:</t>
  </si>
  <si>
    <t>Označení tlumiče</t>
  </si>
  <si>
    <t>Cena</t>
  </si>
  <si>
    <t>mm</t>
  </si>
  <si>
    <t>°C</t>
  </si>
  <si>
    <t>Pa</t>
  </si>
  <si>
    <t>%</t>
  </si>
  <si>
    <t>m/s</t>
  </si>
  <si>
    <t>dB</t>
  </si>
  <si>
    <t>kg/ks</t>
  </si>
  <si>
    <t>Hz</t>
  </si>
  <si>
    <t>dBA</t>
  </si>
  <si>
    <r>
      <t>L</t>
    </r>
    <r>
      <rPr>
        <b/>
        <sz val="8"/>
        <rFont val="Arial Narrow"/>
        <family val="2"/>
        <charset val="238"/>
      </rPr>
      <t>WT-Lin</t>
    </r>
  </si>
  <si>
    <r>
      <t>L</t>
    </r>
    <r>
      <rPr>
        <sz val="9"/>
        <rFont val="Arial Narrow"/>
        <family val="2"/>
        <charset val="238"/>
      </rPr>
      <t>WZ-Lin</t>
    </r>
  </si>
  <si>
    <r>
      <t>L</t>
    </r>
    <r>
      <rPr>
        <sz val="8"/>
        <rFont val="Arial Narrow"/>
        <family val="2"/>
        <charset val="238"/>
      </rPr>
      <t>WT-Lin</t>
    </r>
  </si>
  <si>
    <r>
      <t>L</t>
    </r>
    <r>
      <rPr>
        <sz val="8"/>
        <rFont val="Arial Narrow"/>
        <family val="2"/>
        <charset val="238"/>
      </rPr>
      <t>WC-Lin</t>
    </r>
  </si>
  <si>
    <r>
      <t>Zadejte tvar hlukového spektra (</t>
    </r>
    <r>
      <rPr>
        <b/>
        <sz val="12"/>
        <rFont val="Arial Narrow"/>
        <family val="2"/>
        <charset val="238"/>
      </rPr>
      <t xml:space="preserve">L = </t>
    </r>
    <r>
      <rPr>
        <sz val="12"/>
        <rFont val="Arial Narrow"/>
        <family val="2"/>
        <charset val="238"/>
      </rPr>
      <t xml:space="preserve">lineární, </t>
    </r>
    <r>
      <rPr>
        <b/>
        <sz val="12"/>
        <rFont val="Arial Narrow"/>
        <family val="2"/>
        <charset val="238"/>
      </rPr>
      <t>A</t>
    </r>
    <r>
      <rPr>
        <sz val="12"/>
        <rFont val="Arial Narrow"/>
        <family val="2"/>
        <charset val="238"/>
      </rPr>
      <t xml:space="preserve"> = korigované)</t>
    </r>
  </si>
  <si>
    <t>Popis výpočtu:</t>
  </si>
  <si>
    <t>Kontakt:</t>
  </si>
  <si>
    <t>Odkaz na projekční katalogy (www.greif.cz):</t>
  </si>
  <si>
    <t>Nejistota výpočtu:</t>
  </si>
  <si>
    <t>Vaše připomínky na zlepšení, případně objevené chyby můžete posílat na micka@greif.cz.
V případě, že budete potřebovat popoc s návrhem tlumičů, kontaktujte naší technickou podporu.</t>
  </si>
  <si>
    <r>
      <t>m</t>
    </r>
    <r>
      <rPr>
        <vertAlign val="superscript"/>
        <sz val="10"/>
        <rFont val="Arial Narrow"/>
        <family val="2"/>
        <charset val="238"/>
      </rPr>
      <t>3</t>
    </r>
    <r>
      <rPr>
        <sz val="10"/>
        <rFont val="Arial Narrow"/>
        <family val="2"/>
        <charset val="238"/>
      </rPr>
      <t>/h</t>
    </r>
  </si>
  <si>
    <r>
      <t>kg/m</t>
    </r>
    <r>
      <rPr>
        <vertAlign val="superscript"/>
        <sz val="10"/>
        <rFont val="Arial Narrow"/>
        <family val="2"/>
        <charset val="238"/>
      </rPr>
      <t>3</t>
    </r>
  </si>
  <si>
    <r>
      <t>m</t>
    </r>
    <r>
      <rPr>
        <vertAlign val="superscript"/>
        <sz val="10"/>
        <rFont val="Arial Narrow"/>
        <family val="2"/>
        <charset val="238"/>
      </rPr>
      <t>2</t>
    </r>
  </si>
  <si>
    <t>V září 2018 skončilo přechodné období a vešla v platnost nová, výrazně aktualizovaná norma ČSN EN ISO 9001:2016, která je základním kamenem kvality pro všechny seriózní výrobce. Hlavní změnou je mj. řízení rizik.
Z těchto důvodů uvádíme s útlumem hluku skutečnou odchylku. V oblasti metrologie se nejedná o nic nového, ale u prezentování katalogových hodnot útlumů je to novinka, která od projektanta vyžaduje posouzení instalace v širších souvislostech.
Důvodem je neznalost podmínek, za jakých bude tlumič pracovat. Proto je nutné, aby míru nejistoty posoudil projektant a zohlednil všechny faktory, které mají na útlum hluku vliv. Jsou to zejména neprůzvučnost a tuhost potrubí, ve kterém bude tlumič instalován, provozní podmínky, způsob měření výsledků atd. Je tedy na projektantovi, jakou míru rizika zvolí a odchylku přičte nebo odečte a v jaké velikosti. Námi prezentovaná rozšířená nejistota představuje interval, ve kterém s 95 % pravděpodobností bude ležet měřená hodnota při kombinaci zmíněných místních podmínek.
Je tedy zřejmé, že kvalitní návrh tlumení vyžaduje podrobnou znalost místních podmínek a řízení rizika. Vzhledem k tomu, že jsme již na novou normu recertifikovaní, jsme samozřejmě připraveni tyto rizika minimalizovat a projektantům nabídnout pomocnou ruku při řešení a aplikaci.
V podstatě se nejedná o nic nového, neboť po fyzikální stránce se takto chová každý soubor měření a nezáleží na výrobci nebo způsobu uvádění výsledků. My jako první toto aplikujeme a otevřeně nabízíme pomoc při řešení. Oporou nám jsou interní databáze měřených instalací, při kterých validujeme jednotlivé výsledky a porovnáváme účinnosti jednotlivých řešení.</t>
  </si>
  <si>
    <t>Data pro návrh kruhových tlumičů</t>
  </si>
  <si>
    <t>Návrh kruhových tlumičů GD / GDE</t>
  </si>
  <si>
    <t>Výpočtový program je určen pro návrh kruhových tlumičů hluku GREIF instalovaných ve vzduchotechnickém potrubí. Návrh je možné provádět pro všechny standardně vyráběné typy kruhových tlumičů GD / GDE podle směrnice ITS122-01. Výpočet je omezen na běžné konstrukční podmínky. V případě složitějších návrhů je nutné tlumič poptat.</t>
  </si>
  <si>
    <t xml:space="preserve">ITS122-01 - Kruhové tlumiče hluku GD
</t>
  </si>
  <si>
    <t>GD</t>
  </si>
  <si>
    <t>Vstup</t>
  </si>
  <si>
    <t>Vnější</t>
  </si>
  <si>
    <t>Ksi</t>
  </si>
  <si>
    <t>GD280-1000</t>
  </si>
  <si>
    <t>GDE</t>
  </si>
  <si>
    <t>volná průtočná plocha v tlumiči</t>
  </si>
  <si>
    <t>Jádro</t>
  </si>
  <si>
    <t>plocha vstupního potrubí</t>
  </si>
  <si>
    <r>
      <t>S</t>
    </r>
    <r>
      <rPr>
        <b/>
        <sz val="8"/>
        <rFont val="Arial Narrow"/>
        <family val="2"/>
        <charset val="238"/>
      </rPr>
      <t>i</t>
    </r>
  </si>
  <si>
    <t>rychlost proudění ve vstupním potrubí před tlumičem</t>
  </si>
  <si>
    <t>celkový součinitel tlakové ztráty tlumiče</t>
  </si>
  <si>
    <t>Brutto cena tlumiče (bez DPH, EXW Uhlířské Janovice)</t>
  </si>
  <si>
    <t>Délka aktivní části</t>
  </si>
  <si>
    <t>Útlum a váha kruhového tlumiče:</t>
  </si>
  <si>
    <t>Nominální rozměr</t>
  </si>
  <si>
    <t>Hmotnost tlumiče</t>
  </si>
  <si>
    <t>d</t>
  </si>
  <si>
    <r>
      <t>L</t>
    </r>
    <r>
      <rPr>
        <b/>
        <sz val="8"/>
        <rFont val="Arial Narrow"/>
        <family val="2"/>
        <charset val="238"/>
      </rPr>
      <t>T</t>
    </r>
  </si>
  <si>
    <t>Vnější průměr tlumiče</t>
  </si>
  <si>
    <t>x</t>
  </si>
  <si>
    <t>Celková délka tlumiče</t>
  </si>
  <si>
    <t>wi</t>
  </si>
  <si>
    <t>Wo</t>
  </si>
  <si>
    <t>Výpočet je proveden na základě simulace CFD, odhad nepřesnosti ± 10%</t>
  </si>
  <si>
    <t>konec</t>
  </si>
  <si>
    <t>Příruba</t>
  </si>
  <si>
    <r>
      <t xml:space="preserve">Nejistota výpočtu vlastního hluku </t>
    </r>
    <r>
      <rPr>
        <sz val="8"/>
        <rFont val="Calibri"/>
        <family val="2"/>
        <charset val="238"/>
      </rPr>
      <t>±</t>
    </r>
    <r>
      <rPr>
        <sz val="9.6"/>
        <rFont val="Arial Narrow"/>
        <family val="2"/>
        <charset val="238"/>
      </rPr>
      <t xml:space="preserve"> 3 dB</t>
    </r>
  </si>
  <si>
    <t>Si</t>
  </si>
  <si>
    <t>dj</t>
  </si>
  <si>
    <t>m</t>
  </si>
  <si>
    <t>W</t>
  </si>
  <si>
    <t>Vlastní hluk - typy GD / GDE</t>
  </si>
  <si>
    <t>GD 100-1000</t>
  </si>
  <si>
    <t>GD 125-1000</t>
  </si>
  <si>
    <t>GD 140-1000</t>
  </si>
  <si>
    <t>GD 150-1000</t>
  </si>
  <si>
    <t>GD 160-1000</t>
  </si>
  <si>
    <t>GD 180-1000</t>
  </si>
  <si>
    <t>GD 200-1000</t>
  </si>
  <si>
    <t>GD 224-1000</t>
  </si>
  <si>
    <t>GD 250-1000</t>
  </si>
  <si>
    <t>GD 300-1000</t>
  </si>
  <si>
    <t>GD 315-1000</t>
  </si>
  <si>
    <t>GD 355-1000</t>
  </si>
  <si>
    <t>GD 400-1000</t>
  </si>
  <si>
    <t>GD 450-1000</t>
  </si>
  <si>
    <t>GD 500-1000</t>
  </si>
  <si>
    <t>GD 560-1000</t>
  </si>
  <si>
    <t>GD 600-1000</t>
  </si>
  <si>
    <t>GD 630-1000</t>
  </si>
  <si>
    <t>GD 710-1000</t>
  </si>
  <si>
    <t>GD 800-1000</t>
  </si>
  <si>
    <t>GD 900-1000</t>
  </si>
  <si>
    <t>GD 1000-1000</t>
  </si>
  <si>
    <t>GD 100-1500</t>
  </si>
  <si>
    <t>GD 125-1500</t>
  </si>
  <si>
    <t>GD 140-1500</t>
  </si>
  <si>
    <t>GD 150-1500</t>
  </si>
  <si>
    <t>GD 160-1500</t>
  </si>
  <si>
    <t>GD 180-1500</t>
  </si>
  <si>
    <t>GD 200-1500</t>
  </si>
  <si>
    <t>GD 224-1500</t>
  </si>
  <si>
    <t>GD 250-1500</t>
  </si>
  <si>
    <t>GD 280-1500</t>
  </si>
  <si>
    <t>GD 300-1500</t>
  </si>
  <si>
    <t>GD 315-1500</t>
  </si>
  <si>
    <t>GD 355-1500</t>
  </si>
  <si>
    <t>GD 400-1500</t>
  </si>
  <si>
    <t>GD 450-1500</t>
  </si>
  <si>
    <t>GD 500-1500</t>
  </si>
  <si>
    <t>GD 560-1500</t>
  </si>
  <si>
    <t>GD 600-1500</t>
  </si>
  <si>
    <t>GD 630-1500</t>
  </si>
  <si>
    <t>GD 710-1500</t>
  </si>
  <si>
    <t>GD 800-1500</t>
  </si>
  <si>
    <t>GD 900-1500</t>
  </si>
  <si>
    <t>GD 1000-1500</t>
  </si>
  <si>
    <t>GD 100-2000</t>
  </si>
  <si>
    <t>GD 125-2000</t>
  </si>
  <si>
    <t>GD 140-2000</t>
  </si>
  <si>
    <t>GD 150-2000</t>
  </si>
  <si>
    <t>GD 160-2000</t>
  </si>
  <si>
    <t>GD 180-2000</t>
  </si>
  <si>
    <t>GD 200-2000</t>
  </si>
  <si>
    <t>GD 224-2000</t>
  </si>
  <si>
    <t>GD 250-2000</t>
  </si>
  <si>
    <t>GD 280-2000</t>
  </si>
  <si>
    <t>GD 300-2000</t>
  </si>
  <si>
    <t>GD 315-2000</t>
  </si>
  <si>
    <t>GD 355-2000</t>
  </si>
  <si>
    <t>GD 400-2000</t>
  </si>
  <si>
    <t>GD 450-2000</t>
  </si>
  <si>
    <t>GD 500-2000</t>
  </si>
  <si>
    <t>GD 560-2000</t>
  </si>
  <si>
    <t>GD 600-2000</t>
  </si>
  <si>
    <t>GD 630-2000</t>
  </si>
  <si>
    <t>GD 710-2000</t>
  </si>
  <si>
    <t>GD 800-2000</t>
  </si>
  <si>
    <t>GD 900-2000</t>
  </si>
  <si>
    <t>GD 1000-2000</t>
  </si>
  <si>
    <t>GDE 200-1000</t>
  </si>
  <si>
    <t>GDE 224-1000</t>
  </si>
  <si>
    <t>GDE 250-1000</t>
  </si>
  <si>
    <t>GDE 280-1000</t>
  </si>
  <si>
    <t>GDE 300-1000</t>
  </si>
  <si>
    <t>GDE 315-1000</t>
  </si>
  <si>
    <t>GDE 355-1000</t>
  </si>
  <si>
    <t>GDE 400-1000</t>
  </si>
  <si>
    <t>GDE 450-1000</t>
  </si>
  <si>
    <t>GDE 500-1000</t>
  </si>
  <si>
    <t>GDE 560-1000</t>
  </si>
  <si>
    <t>GDE 600-1000</t>
  </si>
  <si>
    <t>GDE 630-1000</t>
  </si>
  <si>
    <t>GDE 710-1000</t>
  </si>
  <si>
    <t>GDE 800-1000</t>
  </si>
  <si>
    <t>GDE 900-1000</t>
  </si>
  <si>
    <t>GDE 1000-1000</t>
  </si>
  <si>
    <t>GDE 200-1500</t>
  </si>
  <si>
    <t>GDE 224-1500</t>
  </si>
  <si>
    <t>GDE 250-1500</t>
  </si>
  <si>
    <t>GDE 280-1500</t>
  </si>
  <si>
    <t>GDE 300-1500</t>
  </si>
  <si>
    <t>GDE 315-1500</t>
  </si>
  <si>
    <t>GDE 355-1500</t>
  </si>
  <si>
    <t>GDE 400-1500</t>
  </si>
  <si>
    <t>GDE 450-1500</t>
  </si>
  <si>
    <t>GDE 500-1500</t>
  </si>
  <si>
    <t>GDE 560-1500</t>
  </si>
  <si>
    <t>GDE 600-1500</t>
  </si>
  <si>
    <t>GDE 630-1500</t>
  </si>
  <si>
    <t>GDE 710-1500</t>
  </si>
  <si>
    <t>GDE 800-1500</t>
  </si>
  <si>
    <t>GDE 900-1500</t>
  </si>
  <si>
    <t>GDE 1000-1500</t>
  </si>
  <si>
    <t>GDE 200-2000</t>
  </si>
  <si>
    <t>GDE 224-2000</t>
  </si>
  <si>
    <t>GDE 250-2000</t>
  </si>
  <si>
    <t>GDE 280-2000</t>
  </si>
  <si>
    <t>GDE 300-2000</t>
  </si>
  <si>
    <t>GDE 315-2000</t>
  </si>
  <si>
    <t>GDE 355-2000</t>
  </si>
  <si>
    <t>GDE 400-2000</t>
  </si>
  <si>
    <t>GDE 450-2000</t>
  </si>
  <si>
    <t>GDE 500-2000</t>
  </si>
  <si>
    <t>GDE 560-2000</t>
  </si>
  <si>
    <t>GDE 600-2000</t>
  </si>
  <si>
    <t>GDE 630-2000</t>
  </si>
  <si>
    <t>GDE 710-2000</t>
  </si>
  <si>
    <t>GDE 800-2000</t>
  </si>
  <si>
    <t>GDE 900-2000</t>
  </si>
  <si>
    <t>GDE 1000-2000</t>
  </si>
  <si>
    <t>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</si>
</sst>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0"/>
    <numFmt numFmtId="165" formatCode="0\="/>
    <numFmt numFmtId="166" formatCode="\ \±0"/>
    <numFmt numFmtId="167" formatCode="#,##0\ &quot;Kč&quot;"/>
    <numFmt numFmtId="168" formatCode="0\ \P\a"/>
    <numFmt numFmtId="169" formatCode="#,##0.000000"/>
    <numFmt numFmtId="170" formatCode="0\ \m\m"/>
    <numFmt numFmtId="171" formatCode="0.0\ \k\g"/>
    <numFmt numFmtId="172" formatCode="0.0"/>
    <numFmt numFmtId="173" formatCode="#,##0.0000"/>
  </numFmts>
  <fonts count="22" x14ac:knownFonts="1">
    <font>
      <sz val="10"/>
      <name val="Arial CE"/>
      <charset val="238"/>
    </font>
    <font>
      <sz val="8"/>
      <name val="Arial CE"/>
      <charset val="238"/>
    </font>
    <font>
      <sz val="9"/>
      <color indexed="81"/>
      <name val="Tahoma"/>
      <family val="2"/>
      <charset val="238"/>
    </font>
    <font>
      <sz val="12"/>
      <name val="Arial Narrow"/>
      <family val="2"/>
      <charset val="238"/>
    </font>
    <font>
      <b/>
      <sz val="12"/>
      <name val="Arial Narrow"/>
      <family val="2"/>
      <charset val="238"/>
    </font>
    <font>
      <b/>
      <sz val="20"/>
      <name val="Arial Narrow"/>
      <family val="2"/>
      <charset val="238"/>
    </font>
    <font>
      <b/>
      <sz val="12"/>
      <color theme="0"/>
      <name val="Arial Narrow"/>
      <family val="2"/>
      <charset val="238"/>
    </font>
    <font>
      <sz val="12"/>
      <color theme="0" tint="-0.249977111117893"/>
      <name val="Arial Narrow"/>
      <family val="2"/>
      <charset val="238"/>
    </font>
    <font>
      <b/>
      <sz val="8"/>
      <name val="Arial Narrow"/>
      <family val="2"/>
      <charset val="238"/>
    </font>
    <font>
      <sz val="8"/>
      <name val="Arial Narrow"/>
      <family val="2"/>
      <charset val="238"/>
    </font>
    <font>
      <sz val="12"/>
      <color theme="0" tint="-0.14999847407452621"/>
      <name val="Arial Narrow"/>
      <family val="2"/>
      <charset val="238"/>
    </font>
    <font>
      <sz val="12"/>
      <color theme="0"/>
      <name val="Arial Narrow"/>
      <family val="2"/>
      <charset val="238"/>
    </font>
    <font>
      <b/>
      <sz val="9"/>
      <color indexed="81"/>
      <name val="Tahoma"/>
      <family val="2"/>
      <charset val="238"/>
    </font>
    <font>
      <sz val="9"/>
      <name val="Arial Narrow"/>
      <family val="2"/>
      <charset val="238"/>
    </font>
    <font>
      <b/>
      <sz val="10"/>
      <name val="Arial Narrow"/>
      <family val="2"/>
      <charset val="238"/>
    </font>
    <font>
      <b/>
      <sz val="12"/>
      <color theme="0" tint="-0.249977111117893"/>
      <name val="Arial Narrow"/>
      <family val="2"/>
      <charset val="238"/>
    </font>
    <font>
      <b/>
      <sz val="10"/>
      <color rgb="FFFF0000"/>
      <name val="Arial Narrow"/>
      <family val="2"/>
      <charset val="238"/>
    </font>
    <font>
      <sz val="10"/>
      <name val="Arial Narrow"/>
      <family val="2"/>
      <charset val="238"/>
    </font>
    <font>
      <vertAlign val="superscript"/>
      <sz val="10"/>
      <name val="Arial Narrow"/>
      <family val="2"/>
      <charset val="238"/>
    </font>
    <font>
      <b/>
      <sz val="12"/>
      <name val="Symbol"/>
      <family val="1"/>
      <charset val="2"/>
    </font>
    <font>
      <sz val="8"/>
      <name val="Calibri"/>
      <family val="2"/>
      <charset val="238"/>
    </font>
    <font>
      <sz val="9.6"/>
      <name val="Arial Narrow"/>
      <family val="2"/>
      <charset val="238"/>
    </font>
  </fonts>
  <fills count="5">
    <fill>
      <patternFill patternType="none"/>
    </fill>
    <fill>
      <patternFill patternType="gray125"/>
    </fill>
    <fill>
      <patternFill patternType="solid">
        <fgColor rgb="FF006F3D"/>
        <bgColor indexed="64"/>
      </patternFill>
    </fill>
    <fill>
      <patternFill patternType="solid">
        <fgColor theme="0"/>
        <bgColor indexed="64"/>
      </patternFill>
    </fill>
    <fill>
      <patternFill patternType="solid">
        <fgColor rgb="FFFFFFC8"/>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115">
    <xf numFmtId="0" fontId="0" fillId="0" borderId="0" xfId="0"/>
    <xf numFmtId="0" fontId="4" fillId="0" borderId="2" xfId="0" applyFont="1" applyFill="1" applyBorder="1" applyAlignment="1" applyProtection="1">
      <alignment vertical="center"/>
      <protection hidden="1"/>
    </xf>
    <xf numFmtId="0" fontId="4" fillId="0" borderId="1" xfId="0" applyFont="1" applyBorder="1" applyAlignment="1" applyProtection="1">
      <alignment horizontal="center" vertical="center"/>
      <protection hidden="1"/>
    </xf>
    <xf numFmtId="0" fontId="3" fillId="0" borderId="1"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165" fontId="4" fillId="0" borderId="3" xfId="0" applyNumberFormat="1" applyFont="1" applyFill="1" applyBorder="1" applyAlignment="1" applyProtection="1">
      <alignment horizontal="center" vertical="center"/>
      <protection hidden="1"/>
    </xf>
    <xf numFmtId="1" fontId="11" fillId="0" borderId="6" xfId="0" applyNumberFormat="1" applyFont="1" applyBorder="1" applyAlignment="1" applyProtection="1">
      <alignment horizontal="center" vertical="center"/>
      <protection hidden="1"/>
    </xf>
    <xf numFmtId="1" fontId="11" fillId="0" borderId="4" xfId="0" applyNumberFormat="1" applyFont="1" applyBorder="1" applyAlignment="1" applyProtection="1">
      <alignment horizontal="center" vertical="center"/>
      <protection hidden="1"/>
    </xf>
    <xf numFmtId="0" fontId="3" fillId="0" borderId="0" xfId="0" applyFont="1" applyAlignment="1" applyProtection="1">
      <alignment horizontal="center" vertical="center"/>
      <protection hidden="1"/>
    </xf>
    <xf numFmtId="0" fontId="3" fillId="0" borderId="0" xfId="0" applyFont="1" applyBorder="1" applyAlignment="1" applyProtection="1">
      <alignment horizontal="center" vertical="center"/>
      <protection hidden="1"/>
    </xf>
    <xf numFmtId="14" fontId="3" fillId="0" borderId="0" xfId="0" applyNumberFormat="1" applyFont="1" applyAlignment="1" applyProtection="1">
      <alignment vertical="center"/>
      <protection hidden="1"/>
    </xf>
    <xf numFmtId="0" fontId="9" fillId="0" borderId="0" xfId="0" applyFont="1" applyAlignment="1" applyProtection="1">
      <alignment horizontal="right" vertical="center"/>
      <protection hidden="1"/>
    </xf>
    <xf numFmtId="0" fontId="5" fillId="0" borderId="0" xfId="0" applyFont="1" applyAlignment="1" applyProtection="1">
      <alignment horizontal="left" vertical="center"/>
      <protection hidden="1"/>
    </xf>
    <xf numFmtId="0" fontId="7" fillId="0" borderId="0" xfId="0" applyFont="1" applyFill="1" applyBorder="1" applyAlignment="1" applyProtection="1">
      <alignment horizontal="left" vertical="center"/>
      <protection hidden="1"/>
    </xf>
    <xf numFmtId="0" fontId="5" fillId="0" borderId="0" xfId="0" applyFont="1" applyAlignment="1" applyProtection="1">
      <alignment horizontal="center" vertical="center"/>
      <protection hidden="1"/>
    </xf>
    <xf numFmtId="0" fontId="3" fillId="0" borderId="2" xfId="0" applyFont="1" applyBorder="1" applyAlignment="1" applyProtection="1">
      <alignment horizontal="center" vertical="center"/>
      <protection hidden="1"/>
    </xf>
    <xf numFmtId="164" fontId="4" fillId="0" borderId="1" xfId="0" applyNumberFormat="1" applyFont="1" applyFill="1" applyBorder="1" applyAlignment="1" applyProtection="1">
      <alignment horizontal="center" vertical="center"/>
      <protection hidden="1"/>
    </xf>
    <xf numFmtId="164" fontId="3" fillId="0" borderId="1" xfId="0" applyNumberFormat="1" applyFont="1" applyBorder="1" applyAlignment="1" applyProtection="1">
      <alignment horizontal="center" vertical="center"/>
      <protection hidden="1"/>
    </xf>
    <xf numFmtId="164" fontId="6" fillId="2" borderId="1" xfId="0" applyNumberFormat="1" applyFont="1" applyFill="1" applyBorder="1" applyAlignment="1" applyProtection="1">
      <alignment horizontal="center" vertical="center"/>
      <protection hidden="1"/>
    </xf>
    <xf numFmtId="0" fontId="4" fillId="0" borderId="1" xfId="0" applyFont="1" applyFill="1" applyBorder="1" applyAlignment="1" applyProtection="1">
      <alignment horizontal="center" vertical="center" wrapText="1"/>
      <protection hidden="1"/>
    </xf>
    <xf numFmtId="164" fontId="4" fillId="0" borderId="1" xfId="0" applyNumberFormat="1" applyFont="1" applyBorder="1" applyAlignment="1" applyProtection="1">
      <alignment horizontal="center" vertical="center"/>
      <protection hidden="1"/>
    </xf>
    <xf numFmtId="0" fontId="10" fillId="0" borderId="0" xfId="0" applyFont="1" applyFill="1" applyBorder="1" applyAlignment="1" applyProtection="1">
      <alignment vertical="center" wrapText="1"/>
      <protection hidden="1"/>
    </xf>
    <xf numFmtId="0" fontId="3" fillId="0" borderId="8" xfId="0" applyFont="1" applyBorder="1" applyAlignment="1" applyProtection="1">
      <alignment horizontal="center" vertical="center"/>
      <protection hidden="1"/>
    </xf>
    <xf numFmtId="0" fontId="3" fillId="0" borderId="9" xfId="0" applyFont="1" applyBorder="1" applyAlignment="1" applyProtection="1">
      <alignment horizontal="center" vertical="center"/>
      <protection hidden="1"/>
    </xf>
    <xf numFmtId="0" fontId="3" fillId="0" borderId="10" xfId="0" applyFont="1" applyBorder="1" applyAlignment="1" applyProtection="1">
      <alignment horizontal="center" vertical="center"/>
      <protection hidden="1"/>
    </xf>
    <xf numFmtId="0" fontId="3" fillId="0" borderId="12" xfId="0" applyFont="1" applyBorder="1" applyAlignment="1" applyProtection="1">
      <alignment horizontal="center" vertical="center"/>
      <protection hidden="1"/>
    </xf>
    <xf numFmtId="0" fontId="3" fillId="0" borderId="13" xfId="0" applyFont="1" applyBorder="1" applyAlignment="1" applyProtection="1">
      <alignment horizontal="center" vertical="center"/>
      <protection hidden="1"/>
    </xf>
    <xf numFmtId="0" fontId="3" fillId="0" borderId="11" xfId="0" applyFont="1" applyBorder="1" applyAlignment="1" applyProtection="1">
      <alignment horizontal="center" vertical="center"/>
      <protection hidden="1"/>
    </xf>
    <xf numFmtId="0" fontId="3" fillId="0" borderId="7" xfId="0" applyFont="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9" fillId="0" borderId="0" xfId="0" applyFont="1" applyBorder="1" applyAlignment="1" applyProtection="1">
      <alignment horizontal="right" vertical="center"/>
      <protection hidden="1"/>
    </xf>
    <xf numFmtId="0" fontId="4" fillId="0" borderId="0" xfId="0" applyFont="1" applyBorder="1" applyAlignment="1" applyProtection="1">
      <alignment horizontal="center" vertical="center"/>
      <protection hidden="1"/>
    </xf>
    <xf numFmtId="166" fontId="3" fillId="0" borderId="1" xfId="0" applyNumberFormat="1" applyFont="1" applyBorder="1" applyAlignment="1" applyProtection="1">
      <alignment horizontal="center" vertical="center"/>
      <protection hidden="1"/>
    </xf>
    <xf numFmtId="0" fontId="3" fillId="0" borderId="0" xfId="0" applyFont="1" applyAlignment="1" applyProtection="1">
      <alignment horizontal="left" vertical="center"/>
      <protection hidden="1"/>
    </xf>
    <xf numFmtId="3" fontId="3" fillId="0" borderId="1" xfId="0" applyNumberFormat="1" applyFont="1" applyBorder="1" applyAlignment="1" applyProtection="1">
      <alignment horizontal="center" vertical="center"/>
      <protection hidden="1"/>
    </xf>
    <xf numFmtId="164" fontId="3" fillId="0" borderId="0" xfId="0" applyNumberFormat="1" applyFont="1" applyBorder="1" applyAlignment="1" applyProtection="1">
      <alignment horizontal="center" vertical="center"/>
      <protection hidden="1"/>
    </xf>
    <xf numFmtId="0" fontId="3" fillId="0" borderId="3" xfId="0" applyFont="1" applyFill="1" applyBorder="1" applyAlignment="1" applyProtection="1">
      <alignment horizontal="left" vertical="center"/>
      <protection hidden="1"/>
    </xf>
    <xf numFmtId="0" fontId="3" fillId="0" borderId="4" xfId="0" applyFont="1" applyBorder="1" applyAlignment="1" applyProtection="1">
      <alignment horizontal="center" vertical="center"/>
      <protection hidden="1"/>
    </xf>
    <xf numFmtId="0" fontId="4" fillId="0" borderId="1" xfId="0" applyFont="1" applyBorder="1" applyAlignment="1" applyProtection="1">
      <alignment horizontal="center" vertical="center"/>
      <protection hidden="1"/>
    </xf>
    <xf numFmtId="0" fontId="14" fillId="0" borderId="1" xfId="0" applyFont="1" applyBorder="1" applyAlignment="1" applyProtection="1">
      <alignment horizontal="center" vertical="center"/>
      <protection hidden="1"/>
    </xf>
    <xf numFmtId="164" fontId="4" fillId="0" borderId="1" xfId="0" applyNumberFormat="1" applyFont="1" applyBorder="1" applyAlignment="1" applyProtection="1">
      <alignment horizontal="left" vertical="center" indent="1"/>
      <protection hidden="1"/>
    </xf>
    <xf numFmtId="164" fontId="4" fillId="0" borderId="1" xfId="0" applyNumberFormat="1" applyFont="1" applyFill="1" applyBorder="1" applyAlignment="1" applyProtection="1">
      <alignment horizontal="center" vertical="center"/>
      <protection locked="0" hidden="1"/>
    </xf>
    <xf numFmtId="0" fontId="17" fillId="0" borderId="5" xfId="0" applyFont="1" applyBorder="1" applyAlignment="1" applyProtection="1">
      <alignment horizontal="center" vertical="center"/>
      <protection hidden="1"/>
    </xf>
    <xf numFmtId="0" fontId="17" fillId="0" borderId="1" xfId="0" applyFont="1" applyBorder="1" applyAlignment="1" applyProtection="1">
      <alignment horizontal="center" vertical="center"/>
      <protection hidden="1"/>
    </xf>
    <xf numFmtId="0" fontId="5" fillId="0" borderId="0" xfId="0" applyFont="1" applyAlignment="1" applyProtection="1">
      <alignment horizontal="left" vertical="center"/>
      <protection hidden="1"/>
    </xf>
    <xf numFmtId="0" fontId="7" fillId="0" borderId="0" xfId="0" applyFont="1" applyFill="1" applyBorder="1" applyAlignment="1" applyProtection="1">
      <alignment vertical="center"/>
      <protection hidden="1"/>
    </xf>
    <xf numFmtId="0" fontId="3" fillId="0" borderId="0" xfId="0" applyFont="1" applyFill="1" applyBorder="1" applyAlignment="1" applyProtection="1">
      <alignment vertical="top" wrapText="1"/>
      <protection hidden="1"/>
    </xf>
    <xf numFmtId="0" fontId="3" fillId="0" borderId="3" xfId="0" applyFont="1" applyBorder="1" applyAlignment="1" applyProtection="1">
      <alignment horizontal="left" vertical="center"/>
      <protection hidden="1"/>
    </xf>
    <xf numFmtId="0" fontId="3" fillId="0" borderId="2" xfId="0" applyFont="1" applyBorder="1" applyAlignment="1" applyProtection="1">
      <alignment horizontal="left" vertical="center"/>
      <protection hidden="1"/>
    </xf>
    <xf numFmtId="0" fontId="3" fillId="0" borderId="4" xfId="0" applyFont="1" applyBorder="1" applyAlignment="1" applyProtection="1">
      <alignment horizontal="left" vertical="center"/>
      <protection hidden="1"/>
    </xf>
    <xf numFmtId="0" fontId="3" fillId="0" borderId="1" xfId="0" applyFont="1" applyBorder="1" applyAlignment="1" applyProtection="1">
      <alignment horizontal="center" vertical="center"/>
      <protection hidden="1"/>
    </xf>
    <xf numFmtId="3" fontId="3" fillId="0" borderId="1" xfId="0" applyNumberFormat="1" applyFont="1" applyFill="1" applyBorder="1" applyAlignment="1" applyProtection="1">
      <alignment horizontal="center" vertical="center"/>
      <protection hidden="1"/>
    </xf>
    <xf numFmtId="0" fontId="4" fillId="0" borderId="3" xfId="0" applyFont="1" applyBorder="1" applyAlignment="1" applyProtection="1">
      <alignment horizontal="left" vertical="center"/>
      <protection hidden="1"/>
    </xf>
    <xf numFmtId="0" fontId="3" fillId="0" borderId="3" xfId="0" applyFont="1" applyBorder="1" applyAlignment="1" applyProtection="1">
      <alignment horizontal="left" vertical="center"/>
      <protection hidden="1"/>
    </xf>
    <xf numFmtId="4" fontId="3" fillId="0" borderId="1" xfId="0" applyNumberFormat="1" applyFont="1" applyBorder="1" applyAlignment="1" applyProtection="1">
      <alignment horizontal="center" vertical="center"/>
      <protection hidden="1"/>
    </xf>
    <xf numFmtId="0" fontId="3" fillId="0" borderId="2" xfId="0" applyFont="1" applyFill="1" applyBorder="1" applyAlignment="1" applyProtection="1">
      <alignment horizontal="left" vertical="center"/>
      <protection hidden="1"/>
    </xf>
    <xf numFmtId="0" fontId="3" fillId="0" borderId="4" xfId="0" applyFont="1" applyFill="1" applyBorder="1" applyAlignment="1" applyProtection="1">
      <alignment horizontal="left" vertical="center"/>
      <protection hidden="1"/>
    </xf>
    <xf numFmtId="0" fontId="3" fillId="0" borderId="1" xfId="0" applyFont="1" applyFill="1" applyBorder="1" applyAlignment="1" applyProtection="1">
      <alignment horizontal="center" vertical="center"/>
      <protection hidden="1"/>
    </xf>
    <xf numFmtId="164" fontId="3" fillId="0" borderId="1" xfId="0" applyNumberFormat="1" applyFont="1" applyFill="1" applyBorder="1" applyAlignment="1" applyProtection="1">
      <alignment horizontal="center" vertical="center"/>
      <protection hidden="1"/>
    </xf>
    <xf numFmtId="0" fontId="19" fillId="0" borderId="1" xfId="0" applyFont="1" applyBorder="1" applyAlignment="1" applyProtection="1">
      <alignment horizontal="center" vertical="center"/>
      <protection hidden="1"/>
    </xf>
    <xf numFmtId="0" fontId="3" fillId="0" borderId="1" xfId="0" applyFont="1" applyBorder="1" applyAlignment="1" applyProtection="1">
      <alignment horizontal="center" vertical="center"/>
      <protection hidden="1"/>
    </xf>
    <xf numFmtId="3" fontId="3" fillId="0" borderId="1" xfId="0" applyNumberFormat="1" applyFont="1" applyFill="1" applyBorder="1" applyAlignment="1" applyProtection="1">
      <alignment horizontal="center" vertical="center"/>
      <protection hidden="1"/>
    </xf>
    <xf numFmtId="2" fontId="3" fillId="0" borderId="1" xfId="0" applyNumberFormat="1" applyFont="1" applyFill="1" applyBorder="1" applyAlignment="1" applyProtection="1">
      <alignment horizontal="center" vertical="center"/>
      <protection hidden="1"/>
    </xf>
    <xf numFmtId="0" fontId="3" fillId="0" borderId="0" xfId="0" applyFont="1" applyAlignment="1" applyProtection="1">
      <alignment horizontal="left" vertical="center"/>
      <protection hidden="1"/>
    </xf>
    <xf numFmtId="0" fontId="3" fillId="0" borderId="1" xfId="0" applyFont="1" applyBorder="1" applyAlignment="1" applyProtection="1">
      <alignment horizontal="center" vertical="center"/>
      <protection hidden="1"/>
    </xf>
    <xf numFmtId="2" fontId="3" fillId="0" borderId="1" xfId="0" applyNumberFormat="1" applyFont="1" applyBorder="1" applyAlignment="1" applyProtection="1">
      <alignment horizontal="center" vertical="center"/>
      <protection hidden="1"/>
    </xf>
    <xf numFmtId="3" fontId="4" fillId="0" borderId="1" xfId="0" applyNumberFormat="1" applyFont="1" applyBorder="1" applyAlignment="1" applyProtection="1">
      <alignment horizontal="center" vertical="center"/>
      <protection hidden="1"/>
    </xf>
    <xf numFmtId="173" fontId="3" fillId="0" borderId="1" xfId="0" applyNumberFormat="1" applyFont="1" applyBorder="1" applyAlignment="1" applyProtection="1">
      <alignment horizontal="center" vertical="center"/>
      <protection hidden="1"/>
    </xf>
    <xf numFmtId="172" fontId="4" fillId="0" borderId="1" xfId="0" applyNumberFormat="1" applyFont="1" applyFill="1" applyBorder="1" applyAlignment="1" applyProtection="1">
      <alignment horizontal="center"/>
      <protection hidden="1"/>
    </xf>
    <xf numFmtId="1" fontId="4" fillId="0" borderId="1" xfId="0" applyNumberFormat="1" applyFont="1" applyFill="1" applyBorder="1" applyAlignment="1" applyProtection="1">
      <alignment horizontal="center"/>
      <protection hidden="1"/>
    </xf>
    <xf numFmtId="9" fontId="3" fillId="0" borderId="0" xfId="0" applyNumberFormat="1" applyFont="1" applyAlignment="1" applyProtection="1">
      <alignment horizontal="center" vertical="center"/>
      <protection hidden="1"/>
    </xf>
    <xf numFmtId="0" fontId="3" fillId="0" borderId="0" xfId="0" applyFont="1" applyAlignment="1" applyProtection="1">
      <alignment horizontal="left" vertical="center" wrapText="1"/>
      <protection hidden="1"/>
    </xf>
    <xf numFmtId="0" fontId="3" fillId="0" borderId="0" xfId="0" applyFont="1" applyAlignment="1" applyProtection="1">
      <alignment horizontal="left" vertical="center"/>
      <protection hidden="1"/>
    </xf>
    <xf numFmtId="0" fontId="15" fillId="0" borderId="0" xfId="0" applyFont="1" applyFill="1" applyBorder="1" applyAlignment="1" applyProtection="1">
      <alignment horizontal="left" vertical="top" wrapText="1"/>
      <protection hidden="1"/>
    </xf>
    <xf numFmtId="0" fontId="3" fillId="0" borderId="0" xfId="0" applyFont="1" applyFill="1" applyBorder="1" applyAlignment="1" applyProtection="1">
      <alignment horizontal="left" vertical="top" wrapText="1"/>
      <protection hidden="1"/>
    </xf>
    <xf numFmtId="0" fontId="3" fillId="0" borderId="0" xfId="0" applyFont="1" applyFill="1" applyBorder="1" applyAlignment="1" applyProtection="1">
      <alignment vertical="top" wrapText="1"/>
      <protection hidden="1"/>
    </xf>
    <xf numFmtId="0" fontId="4" fillId="0" borderId="0" xfId="0" applyFont="1" applyFill="1" applyBorder="1" applyAlignment="1" applyProtection="1">
      <alignment horizontal="left" vertical="top" wrapText="1"/>
      <protection hidden="1"/>
    </xf>
    <xf numFmtId="0" fontId="5" fillId="0" borderId="0" xfId="0" applyFont="1" applyAlignment="1" applyProtection="1">
      <alignment horizontal="left" vertical="center"/>
      <protection hidden="1"/>
    </xf>
    <xf numFmtId="14" fontId="4" fillId="0" borderId="0" xfId="0" applyNumberFormat="1" applyFont="1" applyFill="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6" fillId="2" borderId="1" xfId="0" applyFont="1" applyFill="1" applyBorder="1" applyAlignment="1" applyProtection="1">
      <alignment horizontal="left" vertical="center"/>
      <protection hidden="1"/>
    </xf>
    <xf numFmtId="0" fontId="4" fillId="0" borderId="3" xfId="0" applyFont="1" applyBorder="1" applyAlignment="1" applyProtection="1">
      <alignment horizontal="left" vertical="center"/>
      <protection hidden="1"/>
    </xf>
    <xf numFmtId="0" fontId="4" fillId="0" borderId="2"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1" fontId="3" fillId="0" borderId="3" xfId="0" applyNumberFormat="1" applyFont="1" applyBorder="1" applyAlignment="1" applyProtection="1">
      <alignment horizontal="left" vertical="center" indent="1"/>
      <protection hidden="1"/>
    </xf>
    <xf numFmtId="1" fontId="3" fillId="0" borderId="2" xfId="0" applyNumberFormat="1" applyFont="1" applyBorder="1" applyAlignment="1" applyProtection="1">
      <alignment horizontal="left" vertical="center" indent="1"/>
      <protection hidden="1"/>
    </xf>
    <xf numFmtId="4" fontId="3" fillId="0" borderId="1" xfId="0" applyNumberFormat="1" applyFont="1" applyFill="1" applyBorder="1" applyAlignment="1" applyProtection="1">
      <alignment horizontal="center" vertical="center"/>
      <protection hidden="1"/>
    </xf>
    <xf numFmtId="0" fontId="4" fillId="0" borderId="7" xfId="0" applyFont="1" applyBorder="1" applyAlignment="1" applyProtection="1">
      <alignment horizontal="left" vertical="center"/>
      <protection hidden="1"/>
    </xf>
    <xf numFmtId="0" fontId="4" fillId="0" borderId="0" xfId="0" applyFont="1" applyBorder="1" applyAlignment="1" applyProtection="1">
      <alignment horizontal="left" vertical="center"/>
      <protection hidden="1"/>
    </xf>
    <xf numFmtId="168" fontId="6" fillId="2" borderId="3" xfId="0" applyNumberFormat="1" applyFont="1" applyFill="1" applyBorder="1" applyAlignment="1" applyProtection="1">
      <alignment horizontal="center" vertical="center"/>
      <protection hidden="1"/>
    </xf>
    <xf numFmtId="168" fontId="6" fillId="2" borderId="4" xfId="0" applyNumberFormat="1" applyFont="1" applyFill="1" applyBorder="1" applyAlignment="1" applyProtection="1">
      <alignment horizontal="center" vertical="center"/>
      <protection hidden="1"/>
    </xf>
    <xf numFmtId="0" fontId="3" fillId="0" borderId="1" xfId="0" applyFont="1" applyBorder="1" applyAlignment="1" applyProtection="1">
      <alignment horizontal="center" vertical="center"/>
      <protection hidden="1"/>
    </xf>
    <xf numFmtId="0" fontId="4" fillId="3" borderId="7" xfId="0" applyFont="1" applyFill="1" applyBorder="1" applyAlignment="1" applyProtection="1">
      <alignment horizontal="left" vertical="center"/>
      <protection hidden="1"/>
    </xf>
    <xf numFmtId="0" fontId="16" fillId="3" borderId="7" xfId="0" applyFont="1" applyFill="1" applyBorder="1" applyAlignment="1" applyProtection="1">
      <alignment horizontal="right" vertical="center"/>
      <protection hidden="1"/>
    </xf>
    <xf numFmtId="0" fontId="3" fillId="0" borderId="3" xfId="0" applyNumberFormat="1" applyFont="1" applyBorder="1" applyAlignment="1" applyProtection="1">
      <alignment horizontal="left" vertical="center" indent="1"/>
      <protection hidden="1"/>
    </xf>
    <xf numFmtId="0" fontId="3" fillId="0" borderId="2" xfId="0" applyNumberFormat="1" applyFont="1" applyBorder="1" applyAlignment="1" applyProtection="1">
      <alignment horizontal="left" vertical="center" indent="1"/>
      <protection hidden="1"/>
    </xf>
    <xf numFmtId="169" fontId="3" fillId="0" borderId="1" xfId="0" applyNumberFormat="1" applyFont="1" applyFill="1" applyBorder="1" applyAlignment="1" applyProtection="1">
      <alignment horizontal="center" vertical="center"/>
      <protection hidden="1"/>
    </xf>
    <xf numFmtId="0" fontId="6" fillId="2" borderId="11" xfId="0" applyFont="1" applyFill="1" applyBorder="1" applyAlignment="1" applyProtection="1">
      <alignment horizontal="left" vertical="center"/>
      <protection hidden="1"/>
    </xf>
    <xf numFmtId="0" fontId="6" fillId="2" borderId="7" xfId="0" applyFont="1" applyFill="1" applyBorder="1" applyAlignment="1" applyProtection="1">
      <alignment horizontal="left" vertical="center"/>
      <protection hidden="1"/>
    </xf>
    <xf numFmtId="170" fontId="4" fillId="0" borderId="1" xfId="0" applyNumberFormat="1" applyFont="1" applyBorder="1" applyAlignment="1" applyProtection="1">
      <alignment horizontal="left" vertical="center" indent="1"/>
      <protection hidden="1"/>
    </xf>
    <xf numFmtId="0" fontId="6" fillId="2" borderId="1" xfId="0" applyFont="1" applyFill="1" applyBorder="1" applyAlignment="1" applyProtection="1">
      <alignment horizontal="left" vertical="center" indent="1"/>
      <protection hidden="1"/>
    </xf>
    <xf numFmtId="0" fontId="3" fillId="0" borderId="1" xfId="0" applyFont="1" applyBorder="1" applyAlignment="1" applyProtection="1">
      <alignment horizontal="left" vertical="center"/>
      <protection hidden="1"/>
    </xf>
    <xf numFmtId="0" fontId="3" fillId="0" borderId="3" xfId="0" applyFont="1" applyBorder="1" applyAlignment="1" applyProtection="1">
      <alignment horizontal="left" vertical="center"/>
      <protection hidden="1"/>
    </xf>
    <xf numFmtId="0" fontId="3" fillId="0" borderId="2" xfId="0" applyFont="1" applyBorder="1" applyAlignment="1" applyProtection="1">
      <alignment horizontal="left" vertical="center"/>
      <protection hidden="1"/>
    </xf>
    <xf numFmtId="0" fontId="3" fillId="0" borderId="4" xfId="0" applyFont="1" applyBorder="1" applyAlignment="1" applyProtection="1">
      <alignment horizontal="left" vertical="center"/>
      <protection hidden="1"/>
    </xf>
    <xf numFmtId="167" fontId="4" fillId="0" borderId="1" xfId="0" applyNumberFormat="1" applyFont="1" applyBorder="1" applyAlignment="1" applyProtection="1">
      <alignment horizontal="left" vertical="center" indent="1"/>
      <protection hidden="1"/>
    </xf>
    <xf numFmtId="171" fontId="4" fillId="0" borderId="1" xfId="0" applyNumberFormat="1" applyFont="1" applyBorder="1" applyAlignment="1" applyProtection="1">
      <alignment horizontal="left" vertical="center" indent="1"/>
      <protection hidden="1"/>
    </xf>
    <xf numFmtId="0" fontId="7" fillId="0" borderId="0" xfId="0" applyFont="1" applyFill="1" applyBorder="1" applyAlignment="1" applyProtection="1">
      <alignment horizontal="left" vertical="center"/>
      <protection locked="0"/>
    </xf>
    <xf numFmtId="49" fontId="4" fillId="0" borderId="0" xfId="0" applyNumberFormat="1" applyFont="1" applyFill="1" applyBorder="1" applyAlignment="1" applyProtection="1">
      <alignment horizontal="center" vertical="center"/>
      <protection hidden="1"/>
    </xf>
    <xf numFmtId="3" fontId="4" fillId="4" borderId="5" xfId="0" applyNumberFormat="1" applyFont="1" applyFill="1" applyBorder="1" applyAlignment="1" applyProtection="1">
      <alignment horizontal="center" vertical="center"/>
      <protection locked="0"/>
    </xf>
    <xf numFmtId="3" fontId="4" fillId="4" borderId="1" xfId="0" applyNumberFormat="1" applyFont="1" applyFill="1" applyBorder="1" applyAlignment="1" applyProtection="1">
      <alignment horizontal="center" vertical="center"/>
      <protection locked="0"/>
    </xf>
    <xf numFmtId="164" fontId="4" fillId="4" borderId="1" xfId="0" applyNumberFormat="1" applyFont="1" applyFill="1" applyBorder="1" applyAlignment="1" applyProtection="1">
      <alignment horizontal="center" vertical="center"/>
      <protection locked="0"/>
    </xf>
    <xf numFmtId="9" fontId="4" fillId="4" borderId="1" xfId="0" applyNumberFormat="1" applyFont="1" applyFill="1" applyBorder="1" applyAlignment="1" applyProtection="1">
      <alignment horizontal="center" vertical="center"/>
      <protection locked="0"/>
    </xf>
    <xf numFmtId="164" fontId="4" fillId="4" borderId="1" xfId="0" applyNumberFormat="1" applyFont="1" applyFill="1" applyBorder="1" applyAlignment="1" applyProtection="1">
      <alignment horizontal="center" vertical="center"/>
      <protection locked="0"/>
    </xf>
    <xf numFmtId="0" fontId="4" fillId="4" borderId="1" xfId="0" applyFont="1" applyFill="1" applyBorder="1" applyAlignment="1" applyProtection="1">
      <alignment horizontal="center" vertical="center"/>
      <protection locked="0"/>
    </xf>
  </cellXfs>
  <cellStyles count="1">
    <cellStyle name="Normální" xfId="0" builtinId="0"/>
  </cellStyles>
  <dxfs count="23">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theme="0"/>
      </font>
      <fill>
        <patternFill>
          <bgColor rgb="FFFF0000"/>
        </patternFill>
      </fill>
    </dxf>
    <dxf>
      <font>
        <b val="0"/>
        <i val="0"/>
        <color auto="1"/>
      </font>
    </dxf>
    <dxf>
      <font>
        <b val="0"/>
        <i val="0"/>
        <color auto="1"/>
      </font>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theme="1"/>
      </font>
    </dxf>
    <dxf>
      <font>
        <b/>
        <i val="0"/>
        <color theme="1"/>
      </font>
    </dxf>
    <dxf>
      <font>
        <color theme="1"/>
      </font>
    </dxf>
    <dxf>
      <font>
        <b/>
        <i val="0"/>
        <color theme="1"/>
      </font>
    </dxf>
  </dxfs>
  <tableStyles count="0" defaultTableStyle="TableStyleMedium9" defaultPivotStyle="PivotStyleLight16"/>
  <colors>
    <mruColors>
      <color rgb="FF006F3D"/>
      <color rgb="FFFFFFC8"/>
      <color rgb="FFFFFE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'TLU-01'!$N$12</c:f>
              <c:strCache>
                <c:ptCount val="1"/>
                <c:pt idx="0">
                  <c:v>LWZ-Lin</c:v>
                </c:pt>
              </c:strCache>
            </c:strRef>
          </c:tx>
          <c:spPr>
            <a:ln>
              <a:solidFill>
                <a:srgbClr val="FF0000"/>
              </a:solidFill>
            </a:ln>
          </c:spPr>
          <c:marker>
            <c:symbol val="circle"/>
            <c:size val="7"/>
            <c:spPr>
              <a:solidFill>
                <a:srgbClr val="FF0000"/>
              </a:solidFill>
              <a:ln w="19050">
                <a:solidFill>
                  <a:schemeClr val="bg1"/>
                </a:solidFill>
              </a:ln>
            </c:spPr>
          </c:marker>
          <c:cat>
            <c:numRef>
              <c:f>'TLU-01'!$P$11:$X$11</c:f>
              <c:numCache>
                <c:formatCode>General</c:formatCode>
                <c:ptCount val="9"/>
                <c:pt idx="0">
                  <c:v>31.5</c:v>
                </c:pt>
                <c:pt idx="1">
                  <c:v>63</c:v>
                </c:pt>
                <c:pt idx="2">
                  <c:v>125</c:v>
                </c:pt>
                <c:pt idx="3">
                  <c:v>250</c:v>
                </c:pt>
                <c:pt idx="4">
                  <c:v>500</c:v>
                </c:pt>
                <c:pt idx="5">
                  <c:v>1000</c:v>
                </c:pt>
                <c:pt idx="6">
                  <c:v>2000</c:v>
                </c:pt>
                <c:pt idx="7">
                  <c:v>4000</c:v>
                </c:pt>
                <c:pt idx="8">
                  <c:v>8000</c:v>
                </c:pt>
              </c:numCache>
            </c:numRef>
          </c:cat>
          <c:val>
            <c:numRef>
              <c:f>'TLU-01'!$P$12:$X$12</c:f>
              <c:numCache>
                <c:formatCode>#\ ##0.0</c:formatCode>
                <c:ptCount val="9"/>
                <c:pt idx="0">
                  <c:v>75</c:v>
                </c:pt>
                <c:pt idx="1">
                  <c:v>90</c:v>
                </c:pt>
                <c:pt idx="2">
                  <c:v>100</c:v>
                </c:pt>
                <c:pt idx="3">
                  <c:v>103</c:v>
                </c:pt>
                <c:pt idx="4">
                  <c:v>99</c:v>
                </c:pt>
                <c:pt idx="5">
                  <c:v>94</c:v>
                </c:pt>
                <c:pt idx="6">
                  <c:v>84</c:v>
                </c:pt>
                <c:pt idx="7">
                  <c:v>78</c:v>
                </c:pt>
                <c:pt idx="8">
                  <c:v>74</c:v>
                </c:pt>
              </c:numCache>
            </c:numRef>
          </c:val>
          <c:smooth val="0"/>
          <c:extLst>
            <c:ext xmlns:c16="http://schemas.microsoft.com/office/drawing/2014/chart" uri="{C3380CC4-5D6E-409C-BE32-E72D297353CC}">
              <c16:uniqueId val="{00000000-4787-408F-939D-B6CD705C98FF}"/>
            </c:ext>
          </c:extLst>
        </c:ser>
        <c:ser>
          <c:idx val="2"/>
          <c:order val="1"/>
          <c:tx>
            <c:strRef>
              <c:f>'TLU-01'!$N$14</c:f>
              <c:strCache>
                <c:ptCount val="1"/>
                <c:pt idx="0">
                  <c:v>LWT-Lin</c:v>
                </c:pt>
              </c:strCache>
            </c:strRef>
          </c:tx>
          <c:spPr>
            <a:ln>
              <a:solidFill>
                <a:srgbClr val="FFC000"/>
              </a:solidFill>
            </a:ln>
          </c:spPr>
          <c:marker>
            <c:symbol val="circle"/>
            <c:size val="7"/>
            <c:spPr>
              <a:solidFill>
                <a:srgbClr val="FFC000"/>
              </a:solidFill>
              <a:ln w="19050">
                <a:solidFill>
                  <a:schemeClr val="bg1"/>
                </a:solidFill>
              </a:ln>
            </c:spPr>
          </c:marker>
          <c:cat>
            <c:numRef>
              <c:f>'TLU-01'!$P$11:$X$11</c:f>
              <c:numCache>
                <c:formatCode>General</c:formatCode>
                <c:ptCount val="9"/>
                <c:pt idx="0">
                  <c:v>31.5</c:v>
                </c:pt>
                <c:pt idx="1">
                  <c:v>63</c:v>
                </c:pt>
                <c:pt idx="2">
                  <c:v>125</c:v>
                </c:pt>
                <c:pt idx="3">
                  <c:v>250</c:v>
                </c:pt>
                <c:pt idx="4">
                  <c:v>500</c:v>
                </c:pt>
                <c:pt idx="5">
                  <c:v>1000</c:v>
                </c:pt>
                <c:pt idx="6">
                  <c:v>2000</c:v>
                </c:pt>
                <c:pt idx="7">
                  <c:v>4000</c:v>
                </c:pt>
                <c:pt idx="8">
                  <c:v>8000</c:v>
                </c:pt>
              </c:numCache>
            </c:numRef>
          </c:cat>
          <c:val>
            <c:numRef>
              <c:f>'TLU-01'!$P$14:$X$14</c:f>
              <c:numCache>
                <c:formatCode>#\ ##0.0</c:formatCode>
                <c:ptCount val="9"/>
                <c:pt idx="0">
                  <c:v>66.244377092545449</c:v>
                </c:pt>
                <c:pt idx="1">
                  <c:v>60.240984992852475</c:v>
                </c:pt>
                <c:pt idx="2">
                  <c:v>54.35557992867988</c:v>
                </c:pt>
                <c:pt idx="3">
                  <c:v>48.579824583251018</c:v>
                </c:pt>
                <c:pt idx="4">
                  <c:v>43.298978510596278</c:v>
                </c:pt>
                <c:pt idx="5">
                  <c:v>38.64233985432822</c:v>
                </c:pt>
                <c:pt idx="6">
                  <c:v>33.802856645184875</c:v>
                </c:pt>
                <c:pt idx="7">
                  <c:v>28.296544632108642</c:v>
                </c:pt>
                <c:pt idx="8">
                  <c:v>22.430113413424593</c:v>
                </c:pt>
              </c:numCache>
            </c:numRef>
          </c:val>
          <c:smooth val="0"/>
          <c:extLst>
            <c:ext xmlns:c16="http://schemas.microsoft.com/office/drawing/2014/chart" uri="{C3380CC4-5D6E-409C-BE32-E72D297353CC}">
              <c16:uniqueId val="{00000001-4787-408F-939D-B6CD705C98FF}"/>
            </c:ext>
          </c:extLst>
        </c:ser>
        <c:ser>
          <c:idx val="4"/>
          <c:order val="2"/>
          <c:tx>
            <c:strRef>
              <c:f>'TLU-01'!$N$16</c:f>
              <c:strCache>
                <c:ptCount val="1"/>
                <c:pt idx="0">
                  <c:v>LWC-Lin</c:v>
                </c:pt>
              </c:strCache>
            </c:strRef>
          </c:tx>
          <c:spPr>
            <a:ln>
              <a:solidFill>
                <a:srgbClr val="7030A0"/>
              </a:solidFill>
            </a:ln>
          </c:spPr>
          <c:marker>
            <c:symbol val="circle"/>
            <c:size val="7"/>
            <c:spPr>
              <a:solidFill>
                <a:srgbClr val="7030A0"/>
              </a:solidFill>
              <a:ln w="19050">
                <a:solidFill>
                  <a:schemeClr val="bg1"/>
                </a:solidFill>
              </a:ln>
            </c:spPr>
          </c:marker>
          <c:cat>
            <c:numRef>
              <c:f>'TLU-01'!$P$11:$X$11</c:f>
              <c:numCache>
                <c:formatCode>General</c:formatCode>
                <c:ptCount val="9"/>
                <c:pt idx="0">
                  <c:v>31.5</c:v>
                </c:pt>
                <c:pt idx="1">
                  <c:v>63</c:v>
                </c:pt>
                <c:pt idx="2">
                  <c:v>125</c:v>
                </c:pt>
                <c:pt idx="3">
                  <c:v>250</c:v>
                </c:pt>
                <c:pt idx="4">
                  <c:v>500</c:v>
                </c:pt>
                <c:pt idx="5">
                  <c:v>1000</c:v>
                </c:pt>
                <c:pt idx="6">
                  <c:v>2000</c:v>
                </c:pt>
                <c:pt idx="7">
                  <c:v>4000</c:v>
                </c:pt>
                <c:pt idx="8">
                  <c:v>8000</c:v>
                </c:pt>
              </c:numCache>
            </c:numRef>
          </c:cat>
          <c:val>
            <c:numRef>
              <c:f>'TLU-01'!$P$16:$X$16</c:f>
              <c:numCache>
                <c:formatCode>#\ ##0.0</c:formatCode>
                <c:ptCount val="9"/>
                <c:pt idx="0">
                  <c:v>72.253290025529097</c:v>
                </c:pt>
                <c:pt idx="1">
                  <c:v>85.014492988901139</c:v>
                </c:pt>
                <c:pt idx="2">
                  <c:v>86.00297299135346</c:v>
                </c:pt>
                <c:pt idx="3">
                  <c:v>76.007859117005069</c:v>
                </c:pt>
                <c:pt idx="4">
                  <c:v>53.441973365687602</c:v>
                </c:pt>
                <c:pt idx="5">
                  <c:v>45.110031285140799</c:v>
                </c:pt>
                <c:pt idx="6">
                  <c:v>49.129297187279789</c:v>
                </c:pt>
                <c:pt idx="7">
                  <c:v>59.003691936006327</c:v>
                </c:pt>
                <c:pt idx="8">
                  <c:v>59.000956638422331</c:v>
                </c:pt>
              </c:numCache>
            </c:numRef>
          </c:val>
          <c:smooth val="0"/>
          <c:extLst>
            <c:ext xmlns:c16="http://schemas.microsoft.com/office/drawing/2014/chart" uri="{C3380CC4-5D6E-409C-BE32-E72D297353CC}">
              <c16:uniqueId val="{00000002-4787-408F-939D-B6CD705C98FF}"/>
            </c:ext>
          </c:extLst>
        </c:ser>
        <c:ser>
          <c:idx val="6"/>
          <c:order val="3"/>
          <c:tx>
            <c:strRef>
              <c:f>'TLU-01'!$N$13</c:f>
              <c:strCache>
                <c:ptCount val="1"/>
                <c:pt idx="0">
                  <c:v>DT</c:v>
                </c:pt>
              </c:strCache>
            </c:strRef>
          </c:tx>
          <c:spPr>
            <a:ln>
              <a:solidFill>
                <a:schemeClr val="tx1"/>
              </a:solidFill>
            </a:ln>
          </c:spPr>
          <c:marker>
            <c:symbol val="circle"/>
            <c:size val="7"/>
            <c:spPr>
              <a:solidFill>
                <a:schemeClr val="tx1"/>
              </a:solidFill>
              <a:ln w="19050">
                <a:solidFill>
                  <a:schemeClr val="bg1"/>
                </a:solidFill>
              </a:ln>
            </c:spPr>
          </c:marker>
          <c:cat>
            <c:numRef>
              <c:f>'TLU-01'!$P$11:$X$11</c:f>
              <c:numCache>
                <c:formatCode>General</c:formatCode>
                <c:ptCount val="9"/>
                <c:pt idx="0">
                  <c:v>31.5</c:v>
                </c:pt>
                <c:pt idx="1">
                  <c:v>63</c:v>
                </c:pt>
                <c:pt idx="2">
                  <c:v>125</c:v>
                </c:pt>
                <c:pt idx="3">
                  <c:v>250</c:v>
                </c:pt>
                <c:pt idx="4">
                  <c:v>500</c:v>
                </c:pt>
                <c:pt idx="5">
                  <c:v>1000</c:v>
                </c:pt>
                <c:pt idx="6">
                  <c:v>2000</c:v>
                </c:pt>
                <c:pt idx="7">
                  <c:v>4000</c:v>
                </c:pt>
                <c:pt idx="8">
                  <c:v>8000</c:v>
                </c:pt>
              </c:numCache>
            </c:numRef>
          </c:cat>
          <c:val>
            <c:numRef>
              <c:f>'TLU-01'!$P$13:$X$13</c:f>
              <c:numCache>
                <c:formatCode>#\ ##0.0</c:formatCode>
                <c:ptCount val="9"/>
                <c:pt idx="0">
                  <c:v>4</c:v>
                </c:pt>
                <c:pt idx="1">
                  <c:v>5</c:v>
                </c:pt>
                <c:pt idx="2">
                  <c:v>14</c:v>
                </c:pt>
                <c:pt idx="3">
                  <c:v>27</c:v>
                </c:pt>
                <c:pt idx="4">
                  <c:v>46</c:v>
                </c:pt>
                <c:pt idx="5">
                  <c:v>50</c:v>
                </c:pt>
                <c:pt idx="6">
                  <c:v>35</c:v>
                </c:pt>
                <c:pt idx="7">
                  <c:v>19</c:v>
                </c:pt>
                <c:pt idx="8">
                  <c:v>15</c:v>
                </c:pt>
              </c:numCache>
            </c:numRef>
          </c:val>
          <c:smooth val="0"/>
          <c:extLst>
            <c:ext xmlns:c16="http://schemas.microsoft.com/office/drawing/2014/chart" uri="{C3380CC4-5D6E-409C-BE32-E72D297353CC}">
              <c16:uniqueId val="{00000003-4787-408F-939D-B6CD705C98FF}"/>
            </c:ext>
          </c:extLst>
        </c:ser>
        <c:ser>
          <c:idx val="7"/>
          <c:order val="4"/>
          <c:tx>
            <c:strRef>
              <c:f>'TLU-01'!$N$15</c:f>
              <c:strCache>
                <c:ptCount val="1"/>
                <c:pt idx="0">
                  <c:v>DP</c:v>
                </c:pt>
              </c:strCache>
            </c:strRef>
          </c:tx>
          <c:spPr>
            <a:ln>
              <a:solidFill>
                <a:srgbClr val="00B0F0"/>
              </a:solidFill>
            </a:ln>
          </c:spPr>
          <c:marker>
            <c:symbol val="circle"/>
            <c:size val="7"/>
            <c:spPr>
              <a:solidFill>
                <a:srgbClr val="00B0F0"/>
              </a:solidFill>
              <a:ln w="19050">
                <a:solidFill>
                  <a:schemeClr val="bg1"/>
                </a:solidFill>
              </a:ln>
            </c:spPr>
          </c:marker>
          <c:cat>
            <c:numRef>
              <c:f>'TLU-01'!$P$11:$X$11</c:f>
              <c:numCache>
                <c:formatCode>General</c:formatCode>
                <c:ptCount val="9"/>
                <c:pt idx="0">
                  <c:v>31.5</c:v>
                </c:pt>
                <c:pt idx="1">
                  <c:v>63</c:v>
                </c:pt>
                <c:pt idx="2">
                  <c:v>125</c:v>
                </c:pt>
                <c:pt idx="3">
                  <c:v>250</c:v>
                </c:pt>
                <c:pt idx="4">
                  <c:v>500</c:v>
                </c:pt>
                <c:pt idx="5">
                  <c:v>1000</c:v>
                </c:pt>
                <c:pt idx="6">
                  <c:v>2000</c:v>
                </c:pt>
                <c:pt idx="7">
                  <c:v>4000</c:v>
                </c:pt>
                <c:pt idx="8">
                  <c:v>8000</c:v>
                </c:pt>
              </c:numCache>
            </c:numRef>
          </c:cat>
          <c:val>
            <c:numRef>
              <c:f>'TLU-01'!$P$15:$X$15</c:f>
              <c:numCache>
                <c:formatCode>#\ ##0.0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4-4787-408F-939D-B6CD705C98FF}"/>
            </c:ext>
          </c:extLst>
        </c:ser>
        <c:ser>
          <c:idx val="8"/>
          <c:order val="5"/>
          <c:tx>
            <c:strRef>
              <c:f>'TLU-01'!$N$17</c:f>
              <c:strCache>
                <c:ptCount val="1"/>
                <c:pt idx="0">
                  <c:v>DC</c:v>
                </c:pt>
              </c:strCache>
            </c:strRef>
          </c:tx>
          <c:spPr>
            <a:ln>
              <a:solidFill>
                <a:srgbClr val="006F3D"/>
              </a:solidFill>
            </a:ln>
          </c:spPr>
          <c:marker>
            <c:symbol val="circle"/>
            <c:size val="7"/>
            <c:spPr>
              <a:noFill/>
              <a:ln w="19050">
                <a:solidFill>
                  <a:srgbClr val="006F3D"/>
                </a:solidFill>
              </a:ln>
            </c:spPr>
          </c:marker>
          <c:cat>
            <c:numRef>
              <c:f>'TLU-01'!$P$11:$X$11</c:f>
              <c:numCache>
                <c:formatCode>General</c:formatCode>
                <c:ptCount val="9"/>
                <c:pt idx="0">
                  <c:v>31.5</c:v>
                </c:pt>
                <c:pt idx="1">
                  <c:v>63</c:v>
                </c:pt>
                <c:pt idx="2">
                  <c:v>125</c:v>
                </c:pt>
                <c:pt idx="3">
                  <c:v>250</c:v>
                </c:pt>
                <c:pt idx="4">
                  <c:v>500</c:v>
                </c:pt>
                <c:pt idx="5">
                  <c:v>1000</c:v>
                </c:pt>
                <c:pt idx="6">
                  <c:v>2000</c:v>
                </c:pt>
                <c:pt idx="7">
                  <c:v>4000</c:v>
                </c:pt>
                <c:pt idx="8">
                  <c:v>8000</c:v>
                </c:pt>
              </c:numCache>
            </c:numRef>
          </c:cat>
          <c:val>
            <c:numRef>
              <c:f>'TLU-01'!$P$17:$X$17</c:f>
              <c:numCache>
                <c:formatCode>#\ ##0.0</c:formatCode>
                <c:ptCount val="9"/>
                <c:pt idx="0">
                  <c:v>2.7467099744709031</c:v>
                </c:pt>
                <c:pt idx="1">
                  <c:v>4.9855070110988606</c:v>
                </c:pt>
                <c:pt idx="2">
                  <c:v>13.99702700864654</c:v>
                </c:pt>
                <c:pt idx="3">
                  <c:v>26.992140882994931</c:v>
                </c:pt>
                <c:pt idx="4">
                  <c:v>45.558026634312398</c:v>
                </c:pt>
                <c:pt idx="5">
                  <c:v>48.889968714859201</c:v>
                </c:pt>
                <c:pt idx="6">
                  <c:v>34.870702812720211</c:v>
                </c:pt>
                <c:pt idx="7">
                  <c:v>18.996308063993673</c:v>
                </c:pt>
                <c:pt idx="8">
                  <c:v>14.999043361577669</c:v>
                </c:pt>
              </c:numCache>
            </c:numRef>
          </c:val>
          <c:smooth val="0"/>
          <c:extLst>
            <c:ext xmlns:c16="http://schemas.microsoft.com/office/drawing/2014/chart" uri="{C3380CC4-5D6E-409C-BE32-E72D297353CC}">
              <c16:uniqueId val="{00000005-4787-408F-939D-B6CD705C98FF}"/>
            </c:ext>
          </c:extLst>
        </c:ser>
        <c:dLbls>
          <c:showLegendKey val="0"/>
          <c:showVal val="0"/>
          <c:showCatName val="0"/>
          <c:showSerName val="0"/>
          <c:showPercent val="0"/>
          <c:showBubbleSize val="0"/>
        </c:dLbls>
        <c:marker val="1"/>
        <c:smooth val="0"/>
        <c:axId val="45852544"/>
        <c:axId val="53970816"/>
      </c:lineChart>
      <c:catAx>
        <c:axId val="45852544"/>
        <c:scaling>
          <c:orientation val="minMax"/>
        </c:scaling>
        <c:delete val="0"/>
        <c:axPos val="b"/>
        <c:majorGridlines>
          <c:spPr>
            <a:ln>
              <a:solidFill>
                <a:schemeClr val="bg1">
                  <a:lumMod val="85000"/>
                </a:schemeClr>
              </a:solidFill>
              <a:prstDash val="dash"/>
            </a:ln>
          </c:spPr>
        </c:majorGridlines>
        <c:numFmt formatCode="#,##0" sourceLinked="0"/>
        <c:majorTickMark val="out"/>
        <c:minorTickMark val="none"/>
        <c:tickLblPos val="nextTo"/>
        <c:spPr>
          <a:noFill/>
          <a:ln>
            <a:solidFill>
              <a:schemeClr val="tx1"/>
            </a:solidFill>
          </a:ln>
        </c:spPr>
        <c:txPr>
          <a:bodyPr/>
          <a:lstStyle/>
          <a:p>
            <a:pPr>
              <a:defRPr baseline="0">
                <a:latin typeface="Arial Narrow" panose="020B0606020202030204" pitchFamily="34" charset="0"/>
              </a:defRPr>
            </a:pPr>
            <a:endParaRPr lang="cs-CZ"/>
          </a:p>
        </c:txPr>
        <c:crossAx val="53970816"/>
        <c:crosses val="autoZero"/>
        <c:auto val="1"/>
        <c:lblAlgn val="ctr"/>
        <c:lblOffset val="100"/>
        <c:noMultiLvlLbl val="0"/>
      </c:catAx>
      <c:valAx>
        <c:axId val="53970816"/>
        <c:scaling>
          <c:orientation val="minMax"/>
        </c:scaling>
        <c:delete val="0"/>
        <c:axPos val="l"/>
        <c:majorGridlines>
          <c:spPr>
            <a:ln>
              <a:solidFill>
                <a:schemeClr val="bg1">
                  <a:lumMod val="85000"/>
                </a:schemeClr>
              </a:solidFill>
              <a:prstDash val="dash"/>
            </a:ln>
          </c:spPr>
        </c:majorGridlines>
        <c:numFmt formatCode="#,##0" sourceLinked="0"/>
        <c:majorTickMark val="out"/>
        <c:minorTickMark val="none"/>
        <c:tickLblPos val="nextTo"/>
        <c:spPr>
          <a:solidFill>
            <a:schemeClr val="lt1"/>
          </a:solidFill>
        </c:spPr>
        <c:txPr>
          <a:bodyPr/>
          <a:lstStyle/>
          <a:p>
            <a:pPr>
              <a:defRPr baseline="0">
                <a:latin typeface="Arial Narrow" panose="020B0606020202030204" pitchFamily="34" charset="0"/>
              </a:defRPr>
            </a:pPr>
            <a:endParaRPr lang="cs-CZ"/>
          </a:p>
        </c:txPr>
        <c:crossAx val="45852544"/>
        <c:crosses val="autoZero"/>
        <c:crossBetween val="between"/>
      </c:valAx>
      <c:spPr>
        <a:ln>
          <a:solidFill>
            <a:schemeClr val="tx1"/>
          </a:solidFill>
        </a:ln>
      </c:spPr>
    </c:plotArea>
    <c:legend>
      <c:legendPos val="r"/>
      <c:layout>
        <c:manualLayout>
          <c:xMode val="edge"/>
          <c:yMode val="edge"/>
          <c:x val="0.83143117235822983"/>
          <c:y val="3.7875260181725962E-2"/>
          <c:w val="0.15602963856198898"/>
          <c:h val="0.8770836678152848"/>
        </c:manualLayout>
      </c:layout>
      <c:overlay val="0"/>
    </c:legend>
    <c:plotVisOnly val="1"/>
    <c:dispBlanksAs val="gap"/>
    <c:showDLblsOverMax val="0"/>
  </c:chart>
  <c:spPr>
    <a:ln>
      <a:noFill/>
    </a:ln>
  </c:spPr>
  <c:printSettings>
    <c:headerFooter/>
    <c:pageMargins b="0.78740157499999996" l="0.70000000000000062" r="0.70000000000000062" t="0.78740157499999996"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476439</xdr:colOff>
      <xdr:row>3</xdr:row>
      <xdr:rowOff>163988</xdr:rowOff>
    </xdr:to>
    <xdr:grpSp>
      <xdr:nvGrpSpPr>
        <xdr:cNvPr id="16" name="Skupina 15">
          <a:extLst>
            <a:ext uri="{FF2B5EF4-FFF2-40B4-BE49-F238E27FC236}">
              <a16:creationId xmlns:a16="http://schemas.microsoft.com/office/drawing/2014/main" id="{00000000-0008-0000-0000-000010000000}"/>
            </a:ext>
          </a:extLst>
        </xdr:cNvPr>
        <xdr:cNvGrpSpPr/>
      </xdr:nvGrpSpPr>
      <xdr:grpSpPr>
        <a:xfrm>
          <a:off x="0" y="0"/>
          <a:ext cx="6151752" cy="759301"/>
          <a:chOff x="0" y="0"/>
          <a:chExt cx="6151752" cy="759301"/>
        </a:xfrm>
      </xdr:grpSpPr>
      <xdr:pic>
        <xdr:nvPicPr>
          <xdr:cNvPr id="17" name="Obrázek 16" descr="D:\SkyDrive\Dokumenty\11 Katalogy\10 Tlumiče\Greif\Šablona\Titul_01-Hlavní strana.emf">
            <a:extLst>
              <a:ext uri="{FF2B5EF4-FFF2-40B4-BE49-F238E27FC236}">
                <a16:creationId xmlns:a16="http://schemas.microsoft.com/office/drawing/2014/main" id="{00000000-0008-0000-0000-000011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498"/>
          <a:stretch/>
        </xdr:blipFill>
        <xdr:spPr bwMode="auto">
          <a:xfrm>
            <a:off x="31752" y="0"/>
            <a:ext cx="6120000" cy="759301"/>
          </a:xfrm>
          <a:prstGeom prst="rect">
            <a:avLst/>
          </a:prstGeom>
          <a:noFill/>
          <a:ln>
            <a:noFill/>
          </a:ln>
        </xdr:spPr>
      </xdr:pic>
      <xdr:sp macro="" textlink="">
        <xdr:nvSpPr>
          <xdr:cNvPr id="18" name="TextovéPole 17">
            <a:extLst>
              <a:ext uri="{FF2B5EF4-FFF2-40B4-BE49-F238E27FC236}">
                <a16:creationId xmlns:a16="http://schemas.microsoft.com/office/drawing/2014/main" id="{00000000-0008-0000-0000-000012000000}"/>
              </a:ext>
            </a:extLst>
          </xdr:cNvPr>
          <xdr:cNvSpPr txBox="1"/>
        </xdr:nvSpPr>
        <xdr:spPr>
          <a:xfrm>
            <a:off x="0" y="182563"/>
            <a:ext cx="936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cs-CZ" sz="1600" b="0">
                <a:solidFill>
                  <a:sysClr val="windowText" lastClr="000000"/>
                </a:solidFill>
                <a:latin typeface="Impact" pitchFamily="34" charset="0"/>
                <a:cs typeface="Arial" pitchFamily="34" charset="0"/>
              </a:rPr>
              <a:t>Q199-02</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55564</xdr:colOff>
      <xdr:row>19</xdr:row>
      <xdr:rowOff>39687</xdr:rowOff>
    </xdr:from>
    <xdr:to>
      <xdr:col>24</xdr:col>
      <xdr:colOff>457200</xdr:colOff>
      <xdr:row>40</xdr:row>
      <xdr:rowOff>134937</xdr:rowOff>
    </xdr:to>
    <xdr:graphicFrame macro="">
      <xdr:nvGraphicFramePr>
        <xdr:cNvPr id="2" name="Graf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301613</xdr:colOff>
      <xdr:row>1</xdr:row>
      <xdr:rowOff>103170</xdr:rowOff>
    </xdr:from>
    <xdr:to>
      <xdr:col>24</xdr:col>
      <xdr:colOff>304666</xdr:colOff>
      <xdr:row>7</xdr:row>
      <xdr:rowOff>111123</xdr:rowOff>
    </xdr:to>
    <xdr:grpSp>
      <xdr:nvGrpSpPr>
        <xdr:cNvPr id="29" name="Skupina 28">
          <a:extLst>
            <a:ext uri="{FF2B5EF4-FFF2-40B4-BE49-F238E27FC236}">
              <a16:creationId xmlns:a16="http://schemas.microsoft.com/office/drawing/2014/main" id="{00000000-0008-0000-0100-00001D000000}"/>
            </a:ext>
          </a:extLst>
        </xdr:cNvPr>
        <xdr:cNvGrpSpPr/>
      </xdr:nvGrpSpPr>
      <xdr:grpSpPr>
        <a:xfrm>
          <a:off x="7008801" y="301608"/>
          <a:ext cx="5678365" cy="1198578"/>
          <a:chOff x="6603995" y="333360"/>
          <a:chExt cx="5678366" cy="1198578"/>
        </a:xfrm>
      </xdr:grpSpPr>
      <xdr:sp macro="" textlink="">
        <xdr:nvSpPr>
          <xdr:cNvPr id="4" name="TextovéPole 3">
            <a:extLst>
              <a:ext uri="{FF2B5EF4-FFF2-40B4-BE49-F238E27FC236}">
                <a16:creationId xmlns:a16="http://schemas.microsoft.com/office/drawing/2014/main" id="{00000000-0008-0000-0100-000004000000}"/>
              </a:ext>
            </a:extLst>
          </xdr:cNvPr>
          <xdr:cNvSpPr txBox="1"/>
        </xdr:nvSpPr>
        <xdr:spPr>
          <a:xfrm>
            <a:off x="6603995" y="333360"/>
            <a:ext cx="900000" cy="720000"/>
          </a:xfrm>
          <a:prstGeom prst="rect">
            <a:avLst/>
          </a:prstGeom>
          <a:ln w="19050">
            <a:solidFill>
              <a:schemeClr val="tx1"/>
            </a:solidFill>
          </a:ln>
        </xdr:spPr>
        <xdr:style>
          <a:lnRef idx="1">
            <a:schemeClr val="accent2"/>
          </a:lnRef>
          <a:fillRef idx="3">
            <a:schemeClr val="accent2"/>
          </a:fillRef>
          <a:effectRef idx="2">
            <a:schemeClr val="accent2"/>
          </a:effectRef>
          <a:fontRef idx="minor">
            <a:schemeClr val="lt1"/>
          </a:fontRef>
        </xdr:style>
        <xdr:txBody>
          <a:bodyPr vertOverflow="clip" wrap="square" rtlCol="0" anchor="ctr">
            <a:noAutofit/>
          </a:bodyPr>
          <a:lstStyle/>
          <a:p>
            <a:pPr algn="ctr"/>
            <a:r>
              <a:rPr lang="cs-CZ" sz="1100" b="1">
                <a:latin typeface="Arial Narrow" pitchFamily="34" charset="0"/>
              </a:rPr>
              <a:t>ZDROJ</a:t>
            </a:r>
            <a:r>
              <a:rPr lang="cs-CZ" sz="1100" b="1" baseline="0">
                <a:latin typeface="Arial Narrow" pitchFamily="34" charset="0"/>
              </a:rPr>
              <a:t> HLUKU</a:t>
            </a:r>
            <a:endParaRPr lang="cs-CZ" sz="1100" b="1">
              <a:latin typeface="Arial Narrow" pitchFamily="34" charset="0"/>
            </a:endParaRPr>
          </a:p>
          <a:p>
            <a:pPr algn="ctr"/>
            <a:r>
              <a:rPr lang="cs-CZ" sz="1100" b="1">
                <a:latin typeface="Arial Narrow" pitchFamily="34" charset="0"/>
              </a:rPr>
              <a:t>L</a:t>
            </a:r>
            <a:r>
              <a:rPr lang="cs-CZ" sz="800" b="1">
                <a:latin typeface="Arial Narrow" pitchFamily="34" charset="0"/>
              </a:rPr>
              <a:t>WZ</a:t>
            </a:r>
            <a:r>
              <a:rPr lang="cs-CZ" sz="1100" b="1">
                <a:latin typeface="Arial Narrow" pitchFamily="34" charset="0"/>
              </a:rPr>
              <a:t> </a:t>
            </a:r>
          </a:p>
        </xdr:txBody>
      </xdr:sp>
      <xdr:sp macro="" textlink="">
        <xdr:nvSpPr>
          <xdr:cNvPr id="5" name="TextovéPole 4">
            <a:extLst>
              <a:ext uri="{FF2B5EF4-FFF2-40B4-BE49-F238E27FC236}">
                <a16:creationId xmlns:a16="http://schemas.microsoft.com/office/drawing/2014/main" id="{00000000-0008-0000-0100-000005000000}"/>
              </a:ext>
            </a:extLst>
          </xdr:cNvPr>
          <xdr:cNvSpPr txBox="1"/>
        </xdr:nvSpPr>
        <xdr:spPr>
          <a:xfrm>
            <a:off x="8191504" y="333360"/>
            <a:ext cx="900000" cy="720000"/>
          </a:xfrm>
          <a:prstGeom prst="rect">
            <a:avLst/>
          </a:prstGeom>
          <a:ln w="19050">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wrap="square" rtlCol="0" anchor="ctr">
            <a:noAutofit/>
          </a:bodyPr>
          <a:lstStyle/>
          <a:p>
            <a:pPr algn="ctr"/>
            <a:r>
              <a:rPr lang="cs-CZ" sz="1100" b="1" baseline="0">
                <a:solidFill>
                  <a:schemeClr val="bg1"/>
                </a:solidFill>
                <a:latin typeface="Arial Narrow" pitchFamily="34" charset="0"/>
              </a:rPr>
              <a:t>ÚTLUM TLUMIČEM</a:t>
            </a:r>
            <a:endParaRPr lang="cs-CZ" sz="1100" b="1">
              <a:solidFill>
                <a:schemeClr val="bg1"/>
              </a:solidFill>
              <a:latin typeface="Arial Narrow" pitchFamily="34" charset="0"/>
            </a:endParaRPr>
          </a:p>
          <a:p>
            <a:pPr algn="ctr"/>
            <a:r>
              <a:rPr lang="cs-CZ" sz="1100" b="1">
                <a:solidFill>
                  <a:schemeClr val="bg1"/>
                </a:solidFill>
                <a:latin typeface="Arial Narrow" pitchFamily="34" charset="0"/>
              </a:rPr>
              <a:t>D</a:t>
            </a:r>
            <a:r>
              <a:rPr lang="cs-CZ" sz="800" b="1">
                <a:solidFill>
                  <a:schemeClr val="bg1"/>
                </a:solidFill>
                <a:latin typeface="Arial Narrow" pitchFamily="34" charset="0"/>
              </a:rPr>
              <a:t>T</a:t>
            </a:r>
            <a:r>
              <a:rPr lang="cs-CZ" sz="1100" b="1">
                <a:solidFill>
                  <a:schemeClr val="bg1"/>
                </a:solidFill>
                <a:latin typeface="Arial Narrow" pitchFamily="34" charset="0"/>
              </a:rPr>
              <a:t>,</a:t>
            </a:r>
            <a:r>
              <a:rPr lang="cs-CZ" sz="1100" b="1" baseline="0">
                <a:solidFill>
                  <a:schemeClr val="bg1"/>
                </a:solidFill>
                <a:latin typeface="Arial Narrow" pitchFamily="34" charset="0"/>
              </a:rPr>
              <a:t> L</a:t>
            </a:r>
            <a:r>
              <a:rPr lang="cs-CZ" sz="800" b="1" baseline="0">
                <a:solidFill>
                  <a:schemeClr val="bg1"/>
                </a:solidFill>
                <a:latin typeface="Arial Narrow" pitchFamily="34" charset="0"/>
              </a:rPr>
              <a:t>WT</a:t>
            </a:r>
            <a:endParaRPr lang="cs-CZ" sz="800" b="1">
              <a:solidFill>
                <a:schemeClr val="bg1"/>
              </a:solidFill>
              <a:latin typeface="Arial Narrow" pitchFamily="34" charset="0"/>
            </a:endParaRPr>
          </a:p>
        </xdr:txBody>
      </xdr:sp>
      <xdr:sp macro="" textlink="">
        <xdr:nvSpPr>
          <xdr:cNvPr id="6" name="Šipka doprava 5">
            <a:extLst>
              <a:ext uri="{FF2B5EF4-FFF2-40B4-BE49-F238E27FC236}">
                <a16:creationId xmlns:a16="http://schemas.microsoft.com/office/drawing/2014/main" id="{00000000-0008-0000-0100-000006000000}"/>
              </a:ext>
            </a:extLst>
          </xdr:cNvPr>
          <xdr:cNvSpPr/>
        </xdr:nvSpPr>
        <xdr:spPr bwMode="auto">
          <a:xfrm>
            <a:off x="7508869" y="579423"/>
            <a:ext cx="658812" cy="254000"/>
          </a:xfrm>
          <a:prstGeom prst="rightArrow">
            <a:avLst/>
          </a:prstGeom>
          <a:ln w="1905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endParaRPr lang="cs-CZ" sz="1100"/>
          </a:p>
        </xdr:txBody>
      </xdr:sp>
      <xdr:sp macro="" textlink="">
        <xdr:nvSpPr>
          <xdr:cNvPr id="7" name="Šipka doprava 6">
            <a:extLst>
              <a:ext uri="{FF2B5EF4-FFF2-40B4-BE49-F238E27FC236}">
                <a16:creationId xmlns:a16="http://schemas.microsoft.com/office/drawing/2014/main" id="{00000000-0008-0000-0100-000007000000}"/>
              </a:ext>
            </a:extLst>
          </xdr:cNvPr>
          <xdr:cNvSpPr/>
        </xdr:nvSpPr>
        <xdr:spPr bwMode="auto">
          <a:xfrm>
            <a:off x="9096367" y="579423"/>
            <a:ext cx="658812" cy="254000"/>
          </a:xfrm>
          <a:prstGeom prst="rightArrow">
            <a:avLst/>
          </a:prstGeom>
          <a:ln w="1905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endParaRPr lang="cs-CZ" sz="1100"/>
          </a:p>
        </xdr:txBody>
      </xdr:sp>
      <xdr:sp macro="" textlink="">
        <xdr:nvSpPr>
          <xdr:cNvPr id="8" name="TextovéPole 7">
            <a:extLst>
              <a:ext uri="{FF2B5EF4-FFF2-40B4-BE49-F238E27FC236}">
                <a16:creationId xmlns:a16="http://schemas.microsoft.com/office/drawing/2014/main" id="{00000000-0008-0000-0100-000008000000}"/>
              </a:ext>
            </a:extLst>
          </xdr:cNvPr>
          <xdr:cNvSpPr txBox="1"/>
        </xdr:nvSpPr>
        <xdr:spPr>
          <a:xfrm>
            <a:off x="9786940" y="333360"/>
            <a:ext cx="900000" cy="720000"/>
          </a:xfrm>
          <a:prstGeom prst="rect">
            <a:avLst/>
          </a:prstGeom>
          <a:solidFill>
            <a:srgbClr val="FFC000"/>
          </a:solidFill>
          <a:ln w="19050">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wrap="square" rtlCol="0" anchor="ctr">
            <a:noAutofit/>
          </a:bodyPr>
          <a:lstStyle/>
          <a:p>
            <a:pPr algn="ctr"/>
            <a:r>
              <a:rPr lang="cs-CZ" sz="1100" b="1" baseline="0">
                <a:solidFill>
                  <a:sysClr val="windowText" lastClr="000000"/>
                </a:solidFill>
                <a:latin typeface="Arial Narrow" pitchFamily="34" charset="0"/>
              </a:rPr>
              <a:t> ÚTLUM</a:t>
            </a:r>
          </a:p>
          <a:p>
            <a:pPr algn="ctr"/>
            <a:r>
              <a:rPr lang="cs-CZ" sz="1100" b="1" baseline="0">
                <a:solidFill>
                  <a:sysClr val="windowText" lastClr="000000"/>
                </a:solidFill>
                <a:latin typeface="Arial Narrow" pitchFamily="34" charset="0"/>
              </a:rPr>
              <a:t>POTRUBÍM</a:t>
            </a:r>
            <a:endParaRPr lang="cs-CZ" sz="1100" b="1">
              <a:solidFill>
                <a:sysClr val="windowText" lastClr="000000"/>
              </a:solidFill>
              <a:latin typeface="Arial Narrow" pitchFamily="34" charset="0"/>
            </a:endParaRPr>
          </a:p>
          <a:p>
            <a:pPr algn="ctr"/>
            <a:r>
              <a:rPr lang="cs-CZ" sz="1100" b="1">
                <a:solidFill>
                  <a:sysClr val="windowText" lastClr="000000"/>
                </a:solidFill>
                <a:latin typeface="Arial Narrow" pitchFamily="34" charset="0"/>
              </a:rPr>
              <a:t>D</a:t>
            </a:r>
            <a:r>
              <a:rPr lang="cs-CZ" sz="800" b="1">
                <a:solidFill>
                  <a:sysClr val="windowText" lastClr="000000"/>
                </a:solidFill>
                <a:latin typeface="Arial Narrow" pitchFamily="34" charset="0"/>
              </a:rPr>
              <a:t>P</a:t>
            </a:r>
          </a:p>
        </xdr:txBody>
      </xdr:sp>
      <xdr:sp macro="" textlink="">
        <xdr:nvSpPr>
          <xdr:cNvPr id="9" name="Šipka doprava 8">
            <a:extLst>
              <a:ext uri="{FF2B5EF4-FFF2-40B4-BE49-F238E27FC236}">
                <a16:creationId xmlns:a16="http://schemas.microsoft.com/office/drawing/2014/main" id="{00000000-0008-0000-0100-000009000000}"/>
              </a:ext>
            </a:extLst>
          </xdr:cNvPr>
          <xdr:cNvSpPr/>
        </xdr:nvSpPr>
        <xdr:spPr bwMode="auto">
          <a:xfrm>
            <a:off x="10693392" y="579423"/>
            <a:ext cx="658812" cy="254000"/>
          </a:xfrm>
          <a:prstGeom prst="rightArrow">
            <a:avLst/>
          </a:prstGeom>
          <a:ln w="1905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endParaRPr lang="cs-CZ" sz="1100"/>
          </a:p>
        </xdr:txBody>
      </xdr:sp>
      <xdr:sp macro="" textlink="">
        <xdr:nvSpPr>
          <xdr:cNvPr id="10" name="TextovéPole 9">
            <a:extLst>
              <a:ext uri="{FF2B5EF4-FFF2-40B4-BE49-F238E27FC236}">
                <a16:creationId xmlns:a16="http://schemas.microsoft.com/office/drawing/2014/main" id="{00000000-0008-0000-0100-00000A000000}"/>
              </a:ext>
            </a:extLst>
          </xdr:cNvPr>
          <xdr:cNvSpPr txBox="1"/>
        </xdr:nvSpPr>
        <xdr:spPr>
          <a:xfrm>
            <a:off x="11382361" y="333360"/>
            <a:ext cx="900000" cy="720000"/>
          </a:xfrm>
          <a:prstGeom prst="rect">
            <a:avLst/>
          </a:prstGeom>
          <a:solidFill>
            <a:srgbClr val="006F3D"/>
          </a:solid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lang="cs-CZ" sz="1100" b="1" baseline="0">
                <a:solidFill>
                  <a:schemeClr val="bg1"/>
                </a:solidFill>
                <a:effectLst/>
                <a:latin typeface="Arial Narrow" panose="020B0606020202030204" pitchFamily="34" charset="0"/>
                <a:ea typeface="+mn-ea"/>
                <a:cs typeface="+mn-cs"/>
              </a:rPr>
              <a:t>VÝSLEDNÝ</a:t>
            </a:r>
          </a:p>
          <a:p>
            <a:pPr algn="ctr"/>
            <a:r>
              <a:rPr lang="cs-CZ" sz="1100" b="1" baseline="0">
                <a:solidFill>
                  <a:schemeClr val="bg1"/>
                </a:solidFill>
                <a:effectLst/>
                <a:latin typeface="Arial Narrow" panose="020B0606020202030204" pitchFamily="34" charset="0"/>
                <a:ea typeface="+mn-ea"/>
                <a:cs typeface="+mn-cs"/>
              </a:rPr>
              <a:t>ÚTLUM</a:t>
            </a:r>
            <a:endParaRPr lang="cs-CZ" sz="2000">
              <a:solidFill>
                <a:schemeClr val="bg1"/>
              </a:solidFill>
              <a:effectLst/>
              <a:latin typeface="Arial Narrow" panose="020B0606020202030204" pitchFamily="34" charset="0"/>
            </a:endParaRPr>
          </a:p>
          <a:p>
            <a:pPr algn="ctr"/>
            <a:r>
              <a:rPr lang="cs-CZ" sz="1100" b="1">
                <a:solidFill>
                  <a:schemeClr val="bg1"/>
                </a:solidFill>
                <a:effectLst/>
                <a:latin typeface="Arial Narrow" panose="020B0606020202030204" pitchFamily="34" charset="0"/>
                <a:ea typeface="+mn-ea"/>
                <a:cs typeface="+mn-cs"/>
              </a:rPr>
              <a:t>D</a:t>
            </a:r>
            <a:r>
              <a:rPr lang="cs-CZ" sz="800" b="1">
                <a:solidFill>
                  <a:schemeClr val="bg1"/>
                </a:solidFill>
                <a:effectLst/>
                <a:latin typeface="Arial Narrow" panose="020B0606020202030204" pitchFamily="34" charset="0"/>
                <a:ea typeface="+mn-ea"/>
                <a:cs typeface="+mn-cs"/>
              </a:rPr>
              <a:t>C</a:t>
            </a:r>
            <a:r>
              <a:rPr lang="cs-CZ" sz="1100" b="1">
                <a:solidFill>
                  <a:schemeClr val="bg1"/>
                </a:solidFill>
                <a:effectLst/>
                <a:latin typeface="Arial Narrow" panose="020B0606020202030204" pitchFamily="34" charset="0"/>
                <a:ea typeface="+mn-ea"/>
                <a:cs typeface="+mn-cs"/>
              </a:rPr>
              <a:t>,</a:t>
            </a:r>
            <a:r>
              <a:rPr lang="cs-CZ" sz="1100" b="1" baseline="0">
                <a:solidFill>
                  <a:schemeClr val="bg1"/>
                </a:solidFill>
                <a:effectLst/>
                <a:latin typeface="Arial Narrow" panose="020B0606020202030204" pitchFamily="34" charset="0"/>
                <a:ea typeface="+mn-ea"/>
                <a:cs typeface="+mn-cs"/>
              </a:rPr>
              <a:t> </a:t>
            </a:r>
            <a:r>
              <a:rPr lang="cs-CZ" sz="1100" b="1">
                <a:solidFill>
                  <a:schemeClr val="bg1"/>
                </a:solidFill>
                <a:effectLst/>
                <a:latin typeface="Arial Narrow" panose="020B0606020202030204" pitchFamily="34" charset="0"/>
                <a:ea typeface="+mn-ea"/>
                <a:cs typeface="+mn-cs"/>
              </a:rPr>
              <a:t>L</a:t>
            </a:r>
            <a:r>
              <a:rPr lang="cs-CZ" sz="800" b="1">
                <a:solidFill>
                  <a:schemeClr val="bg1"/>
                </a:solidFill>
                <a:effectLst/>
                <a:latin typeface="Arial Narrow" panose="020B0606020202030204" pitchFamily="34" charset="0"/>
                <a:ea typeface="+mn-ea"/>
                <a:cs typeface="+mn-cs"/>
              </a:rPr>
              <a:t>WC</a:t>
            </a:r>
            <a:r>
              <a:rPr lang="cs-CZ" sz="1100" b="1">
                <a:solidFill>
                  <a:schemeClr val="bg1"/>
                </a:solidFill>
                <a:effectLst/>
                <a:latin typeface="+mn-lt"/>
                <a:ea typeface="+mn-ea"/>
                <a:cs typeface="+mn-cs"/>
              </a:rPr>
              <a:t> </a:t>
            </a:r>
            <a:endParaRPr lang="cs-CZ" sz="2000">
              <a:solidFill>
                <a:schemeClr val="bg1"/>
              </a:solidFill>
              <a:effectLst/>
            </a:endParaRPr>
          </a:p>
        </xdr:txBody>
      </xdr:sp>
      <xdr:sp macro="" textlink="">
        <xdr:nvSpPr>
          <xdr:cNvPr id="14" name="TextovéPole 13">
            <a:extLst>
              <a:ext uri="{FF2B5EF4-FFF2-40B4-BE49-F238E27FC236}">
                <a16:creationId xmlns:a16="http://schemas.microsoft.com/office/drawing/2014/main" id="{00000000-0008-0000-0100-00000E000000}"/>
              </a:ext>
            </a:extLst>
          </xdr:cNvPr>
          <xdr:cNvSpPr txBox="1"/>
        </xdr:nvSpPr>
        <xdr:spPr>
          <a:xfrm>
            <a:off x="7993053" y="1166797"/>
            <a:ext cx="2916000" cy="293702"/>
          </a:xfrm>
          <a:prstGeom prst="rect">
            <a:avLst/>
          </a:prstGeom>
          <a:solidFill>
            <a:sysClr val="window" lastClr="FFFFFF"/>
          </a:solidFill>
          <a:ln w="19050">
            <a:solidFill>
              <a:schemeClr val="tx1"/>
            </a:solidFill>
          </a:ln>
        </xdr:spPr>
        <xdr:style>
          <a:lnRef idx="1">
            <a:schemeClr val="accent2"/>
          </a:lnRef>
          <a:fillRef idx="3">
            <a:schemeClr val="accent2"/>
          </a:fillRef>
          <a:effectRef idx="2">
            <a:schemeClr val="accent2"/>
          </a:effectRef>
          <a:fontRef idx="minor">
            <a:schemeClr val="lt1"/>
          </a:fontRef>
        </xdr:style>
        <xdr:txBody>
          <a:bodyPr vertOverflow="clip" wrap="square" rtlCol="0" anchor="ctr">
            <a:noAutofit/>
          </a:bodyPr>
          <a:lstStyle/>
          <a:p>
            <a:pPr algn="ctr"/>
            <a:r>
              <a:rPr lang="cs-CZ" sz="1100" b="1">
                <a:solidFill>
                  <a:sysClr val="windowText" lastClr="000000"/>
                </a:solidFill>
                <a:latin typeface="Arial Narrow" pitchFamily="34" charset="0"/>
              </a:rPr>
              <a:t>CELKOVÝ ÚTLUM HLUKU</a:t>
            </a:r>
            <a:r>
              <a:rPr lang="cs-CZ" sz="1100" b="1" baseline="0">
                <a:solidFill>
                  <a:sysClr val="windowText" lastClr="000000"/>
                </a:solidFill>
                <a:latin typeface="Arial Narrow" pitchFamily="34" charset="0"/>
              </a:rPr>
              <a:t> </a:t>
            </a:r>
            <a:r>
              <a:rPr lang="cs-CZ" sz="1100" b="1">
                <a:solidFill>
                  <a:sysClr val="windowText" lastClr="000000"/>
                </a:solidFill>
                <a:latin typeface="Arial Narrow" pitchFamily="34" charset="0"/>
              </a:rPr>
              <a:t>D</a:t>
            </a:r>
            <a:r>
              <a:rPr lang="cs-CZ" sz="800" b="1">
                <a:solidFill>
                  <a:sysClr val="windowText" lastClr="000000"/>
                </a:solidFill>
                <a:latin typeface="Arial Narrow" pitchFamily="34" charset="0"/>
              </a:rPr>
              <a:t>C</a:t>
            </a:r>
            <a:r>
              <a:rPr lang="cs-CZ" sz="1100" b="1">
                <a:solidFill>
                  <a:sysClr val="windowText" lastClr="000000"/>
                </a:solidFill>
                <a:latin typeface="Arial Narrow" pitchFamily="34" charset="0"/>
              </a:rPr>
              <a:t> = L</a:t>
            </a:r>
            <a:r>
              <a:rPr lang="cs-CZ" sz="800" b="1">
                <a:solidFill>
                  <a:sysClr val="windowText" lastClr="000000"/>
                </a:solidFill>
                <a:latin typeface="Arial Narrow" pitchFamily="34" charset="0"/>
              </a:rPr>
              <a:t>WZ</a:t>
            </a:r>
            <a:r>
              <a:rPr lang="cs-CZ" sz="1100" b="1">
                <a:solidFill>
                  <a:sysClr val="windowText" lastClr="000000"/>
                </a:solidFill>
                <a:latin typeface="Arial Narrow" pitchFamily="34" charset="0"/>
              </a:rPr>
              <a:t>  - L</a:t>
            </a:r>
            <a:r>
              <a:rPr lang="cs-CZ" sz="800" b="1">
                <a:solidFill>
                  <a:sysClr val="windowText" lastClr="000000"/>
                </a:solidFill>
                <a:latin typeface="Arial Narrow" pitchFamily="34" charset="0"/>
              </a:rPr>
              <a:t>WC</a:t>
            </a:r>
            <a:endParaRPr lang="cs-CZ" sz="1100" b="1">
              <a:solidFill>
                <a:sysClr val="windowText" lastClr="000000"/>
              </a:solidFill>
              <a:latin typeface="Arial Narrow" pitchFamily="34" charset="0"/>
            </a:endParaRPr>
          </a:p>
        </xdr:txBody>
      </xdr:sp>
      <xdr:sp macro="" textlink="">
        <xdr:nvSpPr>
          <xdr:cNvPr id="24" name="Šipka doprava 23">
            <a:extLst>
              <a:ext uri="{FF2B5EF4-FFF2-40B4-BE49-F238E27FC236}">
                <a16:creationId xmlns:a16="http://schemas.microsoft.com/office/drawing/2014/main" id="{00000000-0008-0000-0100-000018000000}"/>
              </a:ext>
            </a:extLst>
          </xdr:cNvPr>
          <xdr:cNvSpPr/>
        </xdr:nvSpPr>
        <xdr:spPr bwMode="auto">
          <a:xfrm>
            <a:off x="10907713" y="1192198"/>
            <a:ext cx="903294" cy="254000"/>
          </a:xfrm>
          <a:prstGeom prst="rightArrow">
            <a:avLst/>
          </a:prstGeom>
          <a:ln w="1905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endParaRPr lang="cs-CZ" sz="1100"/>
          </a:p>
        </xdr:txBody>
      </xdr:sp>
      <xdr:sp macro="" textlink="">
        <xdr:nvSpPr>
          <xdr:cNvPr id="25" name="Šipka doprava 24">
            <a:extLst>
              <a:ext uri="{FF2B5EF4-FFF2-40B4-BE49-F238E27FC236}">
                <a16:creationId xmlns:a16="http://schemas.microsoft.com/office/drawing/2014/main" id="{00000000-0008-0000-0100-000019000000}"/>
              </a:ext>
            </a:extLst>
          </xdr:cNvPr>
          <xdr:cNvSpPr/>
        </xdr:nvSpPr>
        <xdr:spPr bwMode="auto">
          <a:xfrm rot="10800000">
            <a:off x="7089770" y="1192198"/>
            <a:ext cx="903294" cy="254000"/>
          </a:xfrm>
          <a:prstGeom prst="rightArrow">
            <a:avLst/>
          </a:prstGeom>
          <a:ln w="1905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endParaRPr lang="cs-CZ" sz="1100"/>
          </a:p>
        </xdr:txBody>
      </xdr:sp>
      <xdr:cxnSp macro="">
        <xdr:nvCxnSpPr>
          <xdr:cNvPr id="27" name="Přímá spojnice 26">
            <a:extLst>
              <a:ext uri="{FF2B5EF4-FFF2-40B4-BE49-F238E27FC236}">
                <a16:creationId xmlns:a16="http://schemas.microsoft.com/office/drawing/2014/main" id="{00000000-0008-0000-0100-00001B000000}"/>
              </a:ext>
            </a:extLst>
          </xdr:cNvPr>
          <xdr:cNvCxnSpPr>
            <a:stCxn id="4" idx="2"/>
          </xdr:cNvCxnSpPr>
        </xdr:nvCxnSpPr>
        <xdr:spPr bwMode="auto">
          <a:xfrm>
            <a:off x="7053995" y="1053360"/>
            <a:ext cx="2443" cy="462703"/>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xnSp macro="">
        <xdr:nvCxnSpPr>
          <xdr:cNvPr id="28" name="Přímá spojnice 27">
            <a:extLst>
              <a:ext uri="{FF2B5EF4-FFF2-40B4-BE49-F238E27FC236}">
                <a16:creationId xmlns:a16="http://schemas.microsoft.com/office/drawing/2014/main" id="{00000000-0008-0000-0100-00001C000000}"/>
              </a:ext>
            </a:extLst>
          </xdr:cNvPr>
          <xdr:cNvCxnSpPr/>
        </xdr:nvCxnSpPr>
        <xdr:spPr bwMode="auto">
          <a:xfrm>
            <a:off x="11832370" y="1069235"/>
            <a:ext cx="2443" cy="462703"/>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grpSp>
    <xdr:clientData/>
  </xdr:twoCellAnchor>
  <xdr:twoCellAnchor>
    <xdr:from>
      <xdr:col>0</xdr:col>
      <xdr:colOff>0</xdr:colOff>
      <xdr:row>0</xdr:row>
      <xdr:rowOff>0</xdr:rowOff>
    </xdr:from>
    <xdr:to>
      <xdr:col>11</xdr:col>
      <xdr:colOff>476439</xdr:colOff>
      <xdr:row>3</xdr:row>
      <xdr:rowOff>163988</xdr:rowOff>
    </xdr:to>
    <xdr:grpSp>
      <xdr:nvGrpSpPr>
        <xdr:cNvPr id="18" name="Skupina 17">
          <a:extLst>
            <a:ext uri="{FF2B5EF4-FFF2-40B4-BE49-F238E27FC236}">
              <a16:creationId xmlns:a16="http://schemas.microsoft.com/office/drawing/2014/main" id="{00000000-0008-0000-0100-000012000000}"/>
            </a:ext>
          </a:extLst>
        </xdr:cNvPr>
        <xdr:cNvGrpSpPr/>
      </xdr:nvGrpSpPr>
      <xdr:grpSpPr>
        <a:xfrm>
          <a:off x="0" y="0"/>
          <a:ext cx="6151752" cy="759301"/>
          <a:chOff x="0" y="0"/>
          <a:chExt cx="6151752" cy="759301"/>
        </a:xfrm>
      </xdr:grpSpPr>
      <xdr:pic>
        <xdr:nvPicPr>
          <xdr:cNvPr id="3" name="Obrázek 2" descr="D:\SkyDrive\Dokumenty\11 Katalogy\10 Tlumiče\Greif\Šablona\Titul_01-Hlavní strana.emf">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498"/>
          <a:stretch/>
        </xdr:blipFill>
        <xdr:spPr bwMode="auto">
          <a:xfrm>
            <a:off x="31752" y="0"/>
            <a:ext cx="6120000" cy="759301"/>
          </a:xfrm>
          <a:prstGeom prst="rect">
            <a:avLst/>
          </a:prstGeom>
          <a:noFill/>
          <a:ln>
            <a:noFill/>
          </a:ln>
        </xdr:spPr>
      </xdr:pic>
      <xdr:sp macro="" textlink="">
        <xdr:nvSpPr>
          <xdr:cNvPr id="17" name="TextovéPole 16">
            <a:extLst>
              <a:ext uri="{FF2B5EF4-FFF2-40B4-BE49-F238E27FC236}">
                <a16:creationId xmlns:a16="http://schemas.microsoft.com/office/drawing/2014/main" id="{00000000-0008-0000-0100-000011000000}"/>
              </a:ext>
            </a:extLst>
          </xdr:cNvPr>
          <xdr:cNvSpPr txBox="1"/>
        </xdr:nvSpPr>
        <xdr:spPr>
          <a:xfrm>
            <a:off x="0" y="182563"/>
            <a:ext cx="936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cs-CZ" sz="1600" b="0">
                <a:solidFill>
                  <a:sysClr val="windowText" lastClr="000000"/>
                </a:solidFill>
                <a:latin typeface="Impact" pitchFamily="34" charset="0"/>
                <a:cs typeface="Arial" pitchFamily="34" charset="0"/>
              </a:rPr>
              <a:t>Q199-02</a:t>
            </a:r>
          </a:p>
        </xdr:txBody>
      </xdr:sp>
    </xdr:grpSp>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Metro">
      <a:majorFont>
        <a:latin typeface="Consolas"/>
        <a:ea typeface=""/>
        <a:cs typeface=""/>
        <a:font script="Jpan" typeface="HG丸ｺﾞｼｯｸM-PRO"/>
        <a:font script="Hang" typeface="HY중고딕"/>
        <a:font script="Hans" typeface="华文楷体"/>
        <a:font script="Hant" typeface="新細明體"/>
        <a:font script="Arab" typeface="Tahoma"/>
        <a:font script="Hebr" typeface="Levenim MT"/>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orbel"/>
        <a:ea typeface=""/>
        <a:cs typeface=""/>
        <a:font script="Jpan" typeface="HGｺﾞｼｯｸM"/>
        <a:font script="Hang" typeface="맑은 고딕"/>
        <a:font script="Hans" typeface="宋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6F3D"/>
  </sheetPr>
  <dimension ref="A1:M60"/>
  <sheetViews>
    <sheetView showGridLines="0" zoomScale="120" zoomScaleNormal="120" workbookViewId="0">
      <selection activeCell="A5" sqref="A5:J6"/>
    </sheetView>
  </sheetViews>
  <sheetFormatPr defaultColWidth="8.85546875" defaultRowHeight="15.75" x14ac:dyDescent="0.2"/>
  <cols>
    <col min="1" max="13" width="7.7109375" style="8" customWidth="1"/>
    <col min="14" max="16384" width="8.85546875" style="8"/>
  </cols>
  <sheetData>
    <row r="1" spans="1:13" ht="15.75" customHeight="1" x14ac:dyDescent="0.2"/>
    <row r="2" spans="1:13" ht="15.75" customHeight="1" x14ac:dyDescent="0.2"/>
    <row r="3" spans="1:13" ht="15.75" customHeight="1" x14ac:dyDescent="0.2"/>
    <row r="4" spans="1:13" ht="15.75" customHeight="1" x14ac:dyDescent="0.2">
      <c r="J4" s="10"/>
      <c r="K4" s="10"/>
      <c r="L4" s="11"/>
      <c r="M4" s="11"/>
    </row>
    <row r="5" spans="1:13" ht="15.75" customHeight="1" x14ac:dyDescent="0.2">
      <c r="A5" s="77" t="s">
        <v>76</v>
      </c>
      <c r="B5" s="77"/>
      <c r="C5" s="77"/>
      <c r="D5" s="77"/>
      <c r="E5" s="77"/>
      <c r="F5" s="77"/>
      <c r="G5" s="77"/>
      <c r="H5" s="77"/>
      <c r="I5" s="77"/>
      <c r="J5" s="77"/>
      <c r="K5" s="108" t="s">
        <v>231</v>
      </c>
      <c r="L5" s="108"/>
      <c r="M5" s="44"/>
    </row>
    <row r="6" spans="1:13" ht="15.75" customHeight="1" x14ac:dyDescent="0.2">
      <c r="A6" s="77"/>
      <c r="B6" s="77"/>
      <c r="C6" s="77"/>
      <c r="D6" s="77"/>
      <c r="E6" s="77"/>
      <c r="F6" s="77"/>
      <c r="G6" s="77"/>
      <c r="H6" s="77"/>
      <c r="I6" s="77"/>
      <c r="J6" s="77"/>
      <c r="K6" s="78">
        <v>43851</v>
      </c>
      <c r="L6" s="78"/>
      <c r="M6" s="44"/>
    </row>
    <row r="7" spans="1:13" ht="15.75" customHeight="1" x14ac:dyDescent="0.2">
      <c r="A7" s="45"/>
      <c r="B7" s="45"/>
      <c r="C7" s="45"/>
      <c r="D7" s="45"/>
      <c r="E7" s="45"/>
      <c r="F7" s="45"/>
      <c r="G7" s="45"/>
      <c r="H7" s="45"/>
      <c r="I7" s="45"/>
      <c r="J7" s="45"/>
      <c r="K7" s="45"/>
      <c r="L7" s="45"/>
      <c r="M7" s="13"/>
    </row>
    <row r="8" spans="1:13" ht="15.75" customHeight="1" x14ac:dyDescent="0.2">
      <c r="A8" s="73" t="s">
        <v>66</v>
      </c>
      <c r="B8" s="73"/>
      <c r="C8" s="73"/>
      <c r="D8" s="73"/>
      <c r="E8" s="73"/>
      <c r="F8" s="73"/>
      <c r="G8" s="73"/>
      <c r="H8" s="73"/>
      <c r="I8" s="73"/>
      <c r="J8" s="73"/>
      <c r="K8" s="73"/>
      <c r="L8" s="73"/>
      <c r="M8" s="13"/>
    </row>
    <row r="9" spans="1:13" ht="15.75" customHeight="1" x14ac:dyDescent="0.2">
      <c r="A9" s="74" t="s">
        <v>77</v>
      </c>
      <c r="B9" s="74"/>
      <c r="C9" s="74"/>
      <c r="D9" s="74"/>
      <c r="E9" s="74"/>
      <c r="F9" s="74"/>
      <c r="G9" s="74"/>
      <c r="H9" s="74"/>
      <c r="I9" s="74"/>
      <c r="J9" s="74"/>
      <c r="K9" s="74"/>
      <c r="L9" s="74"/>
    </row>
    <row r="10" spans="1:13" ht="15.75" customHeight="1" x14ac:dyDescent="0.2">
      <c r="A10" s="74"/>
      <c r="B10" s="74"/>
      <c r="C10" s="74"/>
      <c r="D10" s="74"/>
      <c r="E10" s="74"/>
      <c r="F10" s="74"/>
      <c r="G10" s="74"/>
      <c r="H10" s="74"/>
      <c r="I10" s="74"/>
      <c r="J10" s="74"/>
      <c r="K10" s="74"/>
      <c r="L10" s="74"/>
    </row>
    <row r="11" spans="1:13" ht="15.75" customHeight="1" x14ac:dyDescent="0.2">
      <c r="A11" s="74"/>
      <c r="B11" s="74"/>
      <c r="C11" s="74"/>
      <c r="D11" s="74"/>
      <c r="E11" s="74"/>
      <c r="F11" s="74"/>
      <c r="G11" s="74"/>
      <c r="H11" s="74"/>
      <c r="I11" s="74"/>
      <c r="J11" s="74"/>
      <c r="K11" s="74"/>
      <c r="L11" s="74"/>
    </row>
    <row r="12" spans="1:13" ht="15.75" customHeight="1" x14ac:dyDescent="0.2">
      <c r="A12" s="74"/>
      <c r="B12" s="74"/>
      <c r="C12" s="74"/>
      <c r="D12" s="74"/>
      <c r="E12" s="74"/>
      <c r="F12" s="74"/>
      <c r="G12" s="74"/>
      <c r="H12" s="74"/>
      <c r="I12" s="74"/>
      <c r="J12" s="74"/>
      <c r="K12" s="74"/>
      <c r="L12" s="74"/>
    </row>
    <row r="13" spans="1:13" ht="15.75" customHeight="1" x14ac:dyDescent="0.2">
      <c r="A13" s="46"/>
      <c r="B13" s="46"/>
      <c r="C13" s="46"/>
      <c r="D13" s="46"/>
      <c r="E13" s="46"/>
      <c r="F13" s="46"/>
      <c r="G13" s="46"/>
      <c r="H13" s="46"/>
      <c r="I13" s="46"/>
      <c r="J13" s="46"/>
      <c r="K13" s="46"/>
      <c r="L13" s="46"/>
    </row>
    <row r="14" spans="1:13" ht="15.75" customHeight="1" x14ac:dyDescent="0.2">
      <c r="A14" s="76" t="s">
        <v>69</v>
      </c>
      <c r="B14" s="76"/>
      <c r="C14" s="76"/>
      <c r="D14" s="76"/>
      <c r="E14" s="76"/>
      <c r="F14" s="76"/>
      <c r="G14" s="76"/>
      <c r="H14" s="76"/>
      <c r="I14" s="76"/>
      <c r="J14" s="76"/>
      <c r="K14" s="76"/>
      <c r="L14" s="76"/>
    </row>
    <row r="15" spans="1:13" ht="15.75" customHeight="1" x14ac:dyDescent="0.2">
      <c r="A15" s="74" t="s">
        <v>74</v>
      </c>
      <c r="B15" s="74"/>
      <c r="C15" s="74"/>
      <c r="D15" s="74"/>
      <c r="E15" s="74"/>
      <c r="F15" s="74"/>
      <c r="G15" s="74"/>
      <c r="H15" s="74"/>
      <c r="I15" s="74"/>
      <c r="J15" s="74"/>
      <c r="K15" s="74"/>
      <c r="L15" s="74"/>
    </row>
    <row r="16" spans="1:13" ht="15.75" customHeight="1" x14ac:dyDescent="0.2">
      <c r="A16" s="74"/>
      <c r="B16" s="74"/>
      <c r="C16" s="74"/>
      <c r="D16" s="74"/>
      <c r="E16" s="74"/>
      <c r="F16" s="74"/>
      <c r="G16" s="74"/>
      <c r="H16" s="74"/>
      <c r="I16" s="74"/>
      <c r="J16" s="74"/>
      <c r="K16" s="74"/>
      <c r="L16" s="74"/>
    </row>
    <row r="17" spans="1:12" ht="15.75" customHeight="1" x14ac:dyDescent="0.2">
      <c r="A17" s="74"/>
      <c r="B17" s="74"/>
      <c r="C17" s="74"/>
      <c r="D17" s="74"/>
      <c r="E17" s="74"/>
      <c r="F17" s="74"/>
      <c r="G17" s="74"/>
      <c r="H17" s="74"/>
      <c r="I17" s="74"/>
      <c r="J17" s="74"/>
      <c r="K17" s="74"/>
      <c r="L17" s="74"/>
    </row>
    <row r="18" spans="1:12" ht="15.75" customHeight="1" x14ac:dyDescent="0.2">
      <c r="A18" s="74"/>
      <c r="B18" s="74"/>
      <c r="C18" s="74"/>
      <c r="D18" s="74"/>
      <c r="E18" s="74"/>
      <c r="F18" s="74"/>
      <c r="G18" s="74"/>
      <c r="H18" s="74"/>
      <c r="I18" s="74"/>
      <c r="J18" s="74"/>
      <c r="K18" s="74"/>
      <c r="L18" s="74"/>
    </row>
    <row r="19" spans="1:12" ht="15.75" customHeight="1" x14ac:dyDescent="0.2">
      <c r="A19" s="74"/>
      <c r="B19" s="74"/>
      <c r="C19" s="74"/>
      <c r="D19" s="74"/>
      <c r="E19" s="74"/>
      <c r="F19" s="74"/>
      <c r="G19" s="74"/>
      <c r="H19" s="74"/>
      <c r="I19" s="74"/>
      <c r="J19" s="74"/>
      <c r="K19" s="74"/>
      <c r="L19" s="74"/>
    </row>
    <row r="20" spans="1:12" ht="15.75" customHeight="1" x14ac:dyDescent="0.2">
      <c r="A20" s="74"/>
      <c r="B20" s="74"/>
      <c r="C20" s="74"/>
      <c r="D20" s="74"/>
      <c r="E20" s="74"/>
      <c r="F20" s="74"/>
      <c r="G20" s="74"/>
      <c r="H20" s="74"/>
      <c r="I20" s="74"/>
      <c r="J20" s="74"/>
      <c r="K20" s="74"/>
      <c r="L20" s="74"/>
    </row>
    <row r="21" spans="1:12" ht="15.75" customHeight="1" x14ac:dyDescent="0.2">
      <c r="A21" s="74"/>
      <c r="B21" s="74"/>
      <c r="C21" s="74"/>
      <c r="D21" s="74"/>
      <c r="E21" s="74"/>
      <c r="F21" s="74"/>
      <c r="G21" s="74"/>
      <c r="H21" s="74"/>
      <c r="I21" s="74"/>
      <c r="J21" s="74"/>
      <c r="K21" s="74"/>
      <c r="L21" s="74"/>
    </row>
    <row r="22" spans="1:12" ht="15.75" customHeight="1" x14ac:dyDescent="0.2">
      <c r="A22" s="74"/>
      <c r="B22" s="74"/>
      <c r="C22" s="74"/>
      <c r="D22" s="74"/>
      <c r="E22" s="74"/>
      <c r="F22" s="74"/>
      <c r="G22" s="74"/>
      <c r="H22" s="74"/>
      <c r="I22" s="74"/>
      <c r="J22" s="74"/>
      <c r="K22" s="74"/>
      <c r="L22" s="74"/>
    </row>
    <row r="23" spans="1:12" ht="15.75" customHeight="1" x14ac:dyDescent="0.2">
      <c r="A23" s="74"/>
      <c r="B23" s="74"/>
      <c r="C23" s="74"/>
      <c r="D23" s="74"/>
      <c r="E23" s="74"/>
      <c r="F23" s="74"/>
      <c r="G23" s="74"/>
      <c r="H23" s="74"/>
      <c r="I23" s="74"/>
      <c r="J23" s="74"/>
      <c r="K23" s="74"/>
      <c r="L23" s="74"/>
    </row>
    <row r="24" spans="1:12" ht="15.75" customHeight="1" x14ac:dyDescent="0.2">
      <c r="A24" s="74"/>
      <c r="B24" s="74"/>
      <c r="C24" s="74"/>
      <c r="D24" s="74"/>
      <c r="E24" s="74"/>
      <c r="F24" s="74"/>
      <c r="G24" s="74"/>
      <c r="H24" s="74"/>
      <c r="I24" s="74"/>
      <c r="J24" s="74"/>
      <c r="K24" s="74"/>
      <c r="L24" s="74"/>
    </row>
    <row r="25" spans="1:12" ht="15.75" customHeight="1" x14ac:dyDescent="0.2">
      <c r="A25" s="74"/>
      <c r="B25" s="74"/>
      <c r="C25" s="74"/>
      <c r="D25" s="74"/>
      <c r="E25" s="74"/>
      <c r="F25" s="74"/>
      <c r="G25" s="74"/>
      <c r="H25" s="74"/>
      <c r="I25" s="74"/>
      <c r="J25" s="74"/>
      <c r="K25" s="74"/>
      <c r="L25" s="74"/>
    </row>
    <row r="26" spans="1:12" ht="15.75" customHeight="1" x14ac:dyDescent="0.2">
      <c r="A26" s="74"/>
      <c r="B26" s="74"/>
      <c r="C26" s="74"/>
      <c r="D26" s="74"/>
      <c r="E26" s="74"/>
      <c r="F26" s="74"/>
      <c r="G26" s="74"/>
      <c r="H26" s="74"/>
      <c r="I26" s="74"/>
      <c r="J26" s="74"/>
      <c r="K26" s="74"/>
      <c r="L26" s="74"/>
    </row>
    <row r="27" spans="1:12" ht="15.75" customHeight="1" x14ac:dyDescent="0.2">
      <c r="A27" s="74"/>
      <c r="B27" s="74"/>
      <c r="C27" s="74"/>
      <c r="D27" s="74"/>
      <c r="E27" s="74"/>
      <c r="F27" s="74"/>
      <c r="G27" s="74"/>
      <c r="H27" s="74"/>
      <c r="I27" s="74"/>
      <c r="J27" s="74"/>
      <c r="K27" s="74"/>
      <c r="L27" s="74"/>
    </row>
    <row r="28" spans="1:12" ht="15.75" customHeight="1" x14ac:dyDescent="0.2">
      <c r="A28" s="74"/>
      <c r="B28" s="74"/>
      <c r="C28" s="74"/>
      <c r="D28" s="74"/>
      <c r="E28" s="74"/>
      <c r="F28" s="74"/>
      <c r="G28" s="74"/>
      <c r="H28" s="74"/>
      <c r="I28" s="74"/>
      <c r="J28" s="74"/>
      <c r="K28" s="74"/>
      <c r="L28" s="74"/>
    </row>
    <row r="29" spans="1:12" ht="15.75" customHeight="1" x14ac:dyDescent="0.2">
      <c r="A29" s="74"/>
      <c r="B29" s="74"/>
      <c r="C29" s="74"/>
      <c r="D29" s="74"/>
      <c r="E29" s="74"/>
      <c r="F29" s="74"/>
      <c r="G29" s="74"/>
      <c r="H29" s="74"/>
      <c r="I29" s="74"/>
      <c r="J29" s="74"/>
      <c r="K29" s="74"/>
      <c r="L29" s="74"/>
    </row>
    <row r="30" spans="1:12" ht="15.75" customHeight="1" x14ac:dyDescent="0.2">
      <c r="A30" s="74"/>
      <c r="B30" s="74"/>
      <c r="C30" s="74"/>
      <c r="D30" s="74"/>
      <c r="E30" s="74"/>
      <c r="F30" s="74"/>
      <c r="G30" s="74"/>
      <c r="H30" s="74"/>
      <c r="I30" s="74"/>
      <c r="J30" s="74"/>
      <c r="K30" s="74"/>
      <c r="L30" s="74"/>
    </row>
    <row r="31" spans="1:12" ht="15.75" customHeight="1" x14ac:dyDescent="0.2">
      <c r="A31" s="74"/>
      <c r="B31" s="74"/>
      <c r="C31" s="74"/>
      <c r="D31" s="74"/>
      <c r="E31" s="74"/>
      <c r="F31" s="74"/>
      <c r="G31" s="74"/>
      <c r="H31" s="74"/>
      <c r="I31" s="74"/>
      <c r="J31" s="74"/>
      <c r="K31" s="74"/>
      <c r="L31" s="74"/>
    </row>
    <row r="32" spans="1:12" ht="15.75" customHeight="1" x14ac:dyDescent="0.2">
      <c r="A32" s="74"/>
      <c r="B32" s="74"/>
      <c r="C32" s="74"/>
      <c r="D32" s="74"/>
      <c r="E32" s="74"/>
      <c r="F32" s="74"/>
      <c r="G32" s="74"/>
      <c r="H32" s="74"/>
      <c r="I32" s="74"/>
      <c r="J32" s="74"/>
      <c r="K32" s="74"/>
      <c r="L32" s="74"/>
    </row>
    <row r="33" spans="1:12" ht="15.75" customHeight="1" x14ac:dyDescent="0.2">
      <c r="A33" s="74"/>
      <c r="B33" s="74"/>
      <c r="C33" s="74"/>
      <c r="D33" s="74"/>
      <c r="E33" s="74"/>
      <c r="F33" s="74"/>
      <c r="G33" s="74"/>
      <c r="H33" s="74"/>
      <c r="I33" s="74"/>
      <c r="J33" s="74"/>
      <c r="K33" s="74"/>
      <c r="L33" s="74"/>
    </row>
    <row r="34" spans="1:12" ht="15.75" customHeight="1" x14ac:dyDescent="0.2">
      <c r="A34" s="74"/>
      <c r="B34" s="74"/>
      <c r="C34" s="74"/>
      <c r="D34" s="74"/>
      <c r="E34" s="74"/>
      <c r="F34" s="74"/>
      <c r="G34" s="74"/>
      <c r="H34" s="74"/>
      <c r="I34" s="74"/>
      <c r="J34" s="74"/>
      <c r="K34" s="74"/>
      <c r="L34" s="74"/>
    </row>
    <row r="35" spans="1:12" ht="15.75" customHeight="1" x14ac:dyDescent="0.2">
      <c r="A35" s="74"/>
      <c r="B35" s="74"/>
      <c r="C35" s="74"/>
      <c r="D35" s="74"/>
      <c r="E35" s="74"/>
      <c r="F35" s="74"/>
      <c r="G35" s="74"/>
      <c r="H35" s="74"/>
      <c r="I35" s="74"/>
      <c r="J35" s="74"/>
      <c r="K35" s="74"/>
      <c r="L35" s="74"/>
    </row>
    <row r="36" spans="1:12" ht="15.75" customHeight="1" x14ac:dyDescent="0.2">
      <c r="A36" s="74"/>
      <c r="B36" s="74"/>
      <c r="C36" s="74"/>
      <c r="D36" s="74"/>
      <c r="E36" s="74"/>
      <c r="F36" s="74"/>
      <c r="G36" s="74"/>
      <c r="H36" s="74"/>
      <c r="I36" s="74"/>
      <c r="J36" s="74"/>
      <c r="K36" s="74"/>
      <c r="L36" s="74"/>
    </row>
    <row r="37" spans="1:12" ht="15.75" customHeight="1" x14ac:dyDescent="0.2">
      <c r="A37" s="46"/>
      <c r="B37" s="46"/>
      <c r="C37" s="46"/>
      <c r="D37" s="46"/>
      <c r="E37" s="46"/>
      <c r="F37" s="46"/>
      <c r="G37" s="46"/>
      <c r="H37" s="46"/>
      <c r="I37" s="46"/>
      <c r="J37" s="46"/>
      <c r="K37" s="46"/>
      <c r="L37" s="46"/>
    </row>
    <row r="38" spans="1:12" ht="15.75" customHeight="1" x14ac:dyDescent="0.2">
      <c r="A38" s="76" t="s">
        <v>68</v>
      </c>
      <c r="B38" s="76"/>
      <c r="C38" s="76"/>
      <c r="D38" s="76"/>
      <c r="E38" s="76"/>
      <c r="F38" s="76"/>
      <c r="G38" s="76"/>
      <c r="H38" s="76"/>
      <c r="I38" s="76"/>
      <c r="J38" s="76"/>
      <c r="K38" s="76"/>
      <c r="L38" s="76"/>
    </row>
    <row r="39" spans="1:12" ht="15.75" customHeight="1" x14ac:dyDescent="0.2">
      <c r="A39" s="75" t="s">
        <v>78</v>
      </c>
      <c r="B39" s="75"/>
      <c r="C39" s="75"/>
      <c r="D39" s="75"/>
      <c r="E39" s="75"/>
      <c r="F39" s="75"/>
      <c r="G39" s="75"/>
      <c r="H39" s="75"/>
      <c r="I39" s="75"/>
      <c r="J39" s="75"/>
      <c r="K39" s="75"/>
      <c r="L39" s="75"/>
    </row>
    <row r="40" spans="1:12" ht="15.75" customHeight="1" x14ac:dyDescent="0.2"/>
    <row r="41" spans="1:12" ht="15.75" customHeight="1" x14ac:dyDescent="0.2">
      <c r="A41" s="79" t="s">
        <v>67</v>
      </c>
      <c r="B41" s="79"/>
      <c r="C41" s="79"/>
      <c r="D41" s="79"/>
      <c r="E41" s="79"/>
      <c r="F41" s="79"/>
      <c r="G41" s="79"/>
      <c r="H41" s="79"/>
      <c r="I41" s="79"/>
      <c r="J41" s="79"/>
      <c r="K41" s="79"/>
      <c r="L41" s="79"/>
    </row>
    <row r="42" spans="1:12" ht="15.75" customHeight="1" x14ac:dyDescent="0.2">
      <c r="A42" s="71" t="s">
        <v>70</v>
      </c>
      <c r="B42" s="72"/>
      <c r="C42" s="72"/>
      <c r="D42" s="72"/>
      <c r="E42" s="72"/>
      <c r="F42" s="72"/>
      <c r="G42" s="72"/>
      <c r="H42" s="72"/>
      <c r="I42" s="72"/>
      <c r="J42" s="72"/>
      <c r="K42" s="72"/>
      <c r="L42" s="72"/>
    </row>
    <row r="43" spans="1:12" ht="15.75" customHeight="1" x14ac:dyDescent="0.2">
      <c r="A43" s="72"/>
      <c r="B43" s="72"/>
      <c r="C43" s="72"/>
      <c r="D43" s="72"/>
      <c r="E43" s="72"/>
      <c r="F43" s="72"/>
      <c r="G43" s="72"/>
      <c r="H43" s="72"/>
      <c r="I43" s="72"/>
      <c r="J43" s="72"/>
      <c r="K43" s="72"/>
      <c r="L43" s="72"/>
    </row>
    <row r="44" spans="1:12" ht="15.75" customHeight="1" x14ac:dyDescent="0.2"/>
    <row r="45" spans="1:12" ht="15.75" customHeight="1" x14ac:dyDescent="0.2"/>
    <row r="46" spans="1:12" ht="15.75" customHeight="1" x14ac:dyDescent="0.2"/>
    <row r="47" spans="1:12" ht="15.75" customHeight="1" x14ac:dyDescent="0.2"/>
    <row r="48" spans="1:12"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sheetData>
  <sheetProtection algorithmName="SHA-512" hashValue="ry2bwEYTBPDeZydxmUBjGWSV1naTFSeni/4WfAXQdQEcUetuxF6po3D3kNiegD8HZz0H3MP6JaddaP6oYl5mEA==" saltValue="Il0fqwnfquFgDPpLYG/HdQ==" spinCount="100000" sheet="1" objects="1" scenarios="1"/>
  <mergeCells count="11">
    <mergeCell ref="A5:J6"/>
    <mergeCell ref="K5:L5"/>
    <mergeCell ref="K6:L6"/>
    <mergeCell ref="A9:L12"/>
    <mergeCell ref="A41:L41"/>
    <mergeCell ref="A42:L43"/>
    <mergeCell ref="A8:L8"/>
    <mergeCell ref="A15:L36"/>
    <mergeCell ref="A39:L39"/>
    <mergeCell ref="A38:L38"/>
    <mergeCell ref="A14:L14"/>
  </mergeCells>
  <conditionalFormatting sqref="A7">
    <cfRule type="cellIs" dxfId="22" priority="16" operator="notEqual">
      <formula>"Zadejte název projektu"</formula>
    </cfRule>
  </conditionalFormatting>
  <conditionalFormatting sqref="A8">
    <cfRule type="cellIs" dxfId="21" priority="1" operator="notEqual">
      <formula>"Zadejte název tlumiče"</formula>
    </cfRule>
  </conditionalFormatting>
  <printOptions horizontalCentered="1"/>
  <pageMargins left="0.59055118110236227" right="0.39370078740157483" top="0.78740157480314965" bottom="0.78740157480314965" header="0.51181102362204722" footer="0.51181102362204722"/>
  <pageSetup paperSize="9" pageOrder="overThenDown" orientation="portrait" verticalDpi="98" r:id="rId1"/>
  <headerFooter>
    <oddFooter xml:space="preserve">&amp;LQ199-01, revize 1.0 © Greif-akustika, s.r.o.&amp;R&amp;D | List &amp;P/&amp;N    </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tabColor rgb="FFC00000"/>
  </sheetPr>
  <dimension ref="A1:AY150"/>
  <sheetViews>
    <sheetView showGridLines="0" tabSelected="1" zoomScale="120" zoomScaleNormal="120" workbookViewId="0">
      <selection activeCell="A5" sqref="A5:L6"/>
    </sheetView>
  </sheetViews>
  <sheetFormatPr defaultColWidth="8.85546875" defaultRowHeight="15.75" x14ac:dyDescent="0.2"/>
  <cols>
    <col min="1" max="26" width="7.7109375" style="8" customWidth="1"/>
    <col min="27" max="48" width="7.7109375" style="8" hidden="1" customWidth="1"/>
    <col min="49" max="51" width="8.85546875" style="8" hidden="1" customWidth="1"/>
    <col min="52" max="56" width="8.85546875" style="8" customWidth="1"/>
    <col min="57" max="16384" width="8.85546875" style="8"/>
  </cols>
  <sheetData>
    <row r="1" spans="1:41" ht="15.75" customHeight="1" x14ac:dyDescent="0.2">
      <c r="N1" s="79" t="s">
        <v>39</v>
      </c>
      <c r="O1" s="79"/>
      <c r="P1" s="79"/>
      <c r="Q1" s="79"/>
      <c r="R1" s="79"/>
      <c r="S1" s="79"/>
      <c r="T1" s="79"/>
      <c r="U1" s="79"/>
      <c r="V1" s="79"/>
      <c r="W1" s="79"/>
      <c r="X1" s="79"/>
      <c r="Y1" s="79"/>
      <c r="AA1" s="77" t="s">
        <v>75</v>
      </c>
      <c r="AB1" s="77"/>
      <c r="AC1" s="77"/>
      <c r="AD1" s="77"/>
      <c r="AE1" s="77"/>
      <c r="AF1" s="77"/>
      <c r="AG1" s="77"/>
      <c r="AH1" s="77"/>
      <c r="AI1" s="77"/>
      <c r="AJ1" s="77"/>
      <c r="AK1" s="77"/>
      <c r="AL1" s="77"/>
      <c r="AM1" s="77"/>
      <c r="AN1" s="77"/>
      <c r="AO1" s="77"/>
    </row>
    <row r="2" spans="1:41" ht="15.75" customHeight="1" x14ac:dyDescent="0.2">
      <c r="N2" s="9"/>
      <c r="O2" s="9"/>
      <c r="P2" s="9"/>
      <c r="Q2" s="9"/>
      <c r="R2" s="9"/>
      <c r="S2" s="9"/>
      <c r="T2" s="9"/>
      <c r="U2" s="9"/>
      <c r="V2" s="9"/>
      <c r="W2" s="9"/>
      <c r="X2" s="9"/>
      <c r="Y2" s="9"/>
      <c r="AA2" s="77"/>
      <c r="AB2" s="77"/>
      <c r="AC2" s="77"/>
      <c r="AD2" s="77"/>
      <c r="AE2" s="77"/>
      <c r="AF2" s="77"/>
      <c r="AG2" s="77"/>
      <c r="AH2" s="77"/>
      <c r="AI2" s="77"/>
      <c r="AJ2" s="77"/>
      <c r="AK2" s="77"/>
      <c r="AL2" s="77"/>
      <c r="AM2" s="77"/>
      <c r="AN2" s="77"/>
      <c r="AO2" s="77"/>
    </row>
    <row r="3" spans="1:41" ht="15.75" customHeight="1" x14ac:dyDescent="0.2">
      <c r="N3" s="9"/>
      <c r="O3" s="9"/>
      <c r="P3" s="9"/>
      <c r="Q3" s="9"/>
      <c r="R3" s="9"/>
      <c r="S3" s="9"/>
      <c r="T3" s="9"/>
      <c r="U3" s="9"/>
      <c r="V3" s="9"/>
      <c r="W3" s="9"/>
      <c r="X3" s="9"/>
      <c r="Y3" s="9"/>
    </row>
    <row r="4" spans="1:41" ht="15.75" customHeight="1" x14ac:dyDescent="0.2">
      <c r="J4" s="10"/>
      <c r="K4" s="10"/>
      <c r="L4" s="11" t="s">
        <v>27</v>
      </c>
      <c r="M4" s="11"/>
      <c r="N4" s="9"/>
      <c r="O4" s="9"/>
      <c r="P4" s="9"/>
      <c r="Q4" s="9"/>
      <c r="R4" s="9"/>
      <c r="S4" s="9"/>
      <c r="T4" s="9"/>
      <c r="U4" s="9"/>
      <c r="V4" s="9"/>
      <c r="W4" s="9"/>
      <c r="X4" s="9"/>
      <c r="Y4" s="9"/>
      <c r="AA4" s="80" t="s">
        <v>30</v>
      </c>
      <c r="AB4" s="80"/>
      <c r="AC4" s="80"/>
    </row>
    <row r="5" spans="1:41" ht="15.75" customHeight="1" x14ac:dyDescent="0.2">
      <c r="A5" s="77" t="s">
        <v>76</v>
      </c>
      <c r="B5" s="77"/>
      <c r="C5" s="77"/>
      <c r="D5" s="77"/>
      <c r="E5" s="77"/>
      <c r="F5" s="77"/>
      <c r="G5" s="77"/>
      <c r="H5" s="77"/>
      <c r="I5" s="77"/>
      <c r="J5" s="77"/>
      <c r="K5" s="77"/>
      <c r="L5" s="77"/>
      <c r="M5" s="12"/>
      <c r="N5" s="9"/>
      <c r="O5" s="9"/>
      <c r="P5" s="9"/>
      <c r="Q5" s="9"/>
      <c r="R5" s="9"/>
      <c r="S5" s="9"/>
      <c r="T5" s="9"/>
      <c r="U5" s="9"/>
      <c r="V5" s="9"/>
      <c r="W5" s="9"/>
      <c r="X5" s="9"/>
      <c r="Y5" s="9"/>
      <c r="AA5" s="38" t="s">
        <v>5</v>
      </c>
      <c r="AB5" s="50" t="s">
        <v>59</v>
      </c>
      <c r="AC5" s="38">
        <v>31.5</v>
      </c>
      <c r="AD5" s="38">
        <v>63</v>
      </c>
      <c r="AE5" s="38">
        <v>125</v>
      </c>
      <c r="AF5" s="38">
        <v>250</v>
      </c>
      <c r="AG5" s="38">
        <v>500</v>
      </c>
      <c r="AH5" s="38">
        <v>1000</v>
      </c>
      <c r="AI5" s="38">
        <v>2000</v>
      </c>
      <c r="AJ5" s="38">
        <v>4000</v>
      </c>
      <c r="AK5" s="38">
        <v>8000</v>
      </c>
      <c r="AL5" s="31"/>
    </row>
    <row r="6" spans="1:41" ht="15.75" customHeight="1" x14ac:dyDescent="0.2">
      <c r="A6" s="77"/>
      <c r="B6" s="77"/>
      <c r="C6" s="77"/>
      <c r="D6" s="77"/>
      <c r="E6" s="77"/>
      <c r="F6" s="77"/>
      <c r="G6" s="77"/>
      <c r="H6" s="77"/>
      <c r="I6" s="77"/>
      <c r="J6" s="77"/>
      <c r="K6" s="77"/>
      <c r="L6" s="77"/>
      <c r="M6" s="12"/>
      <c r="N6" s="9"/>
      <c r="O6" s="9"/>
      <c r="P6" s="9"/>
      <c r="Q6" s="9"/>
      <c r="R6" s="9"/>
      <c r="S6" s="9"/>
      <c r="T6" s="9"/>
      <c r="U6" s="9"/>
      <c r="V6" s="9"/>
      <c r="W6" s="9"/>
      <c r="X6" s="9"/>
      <c r="Y6" s="9"/>
      <c r="AA6" s="38" t="s">
        <v>23</v>
      </c>
      <c r="AB6" s="50" t="s">
        <v>57</v>
      </c>
      <c r="AC6" s="17">
        <v>-39.4</v>
      </c>
      <c r="AD6" s="17">
        <v>-26.2</v>
      </c>
      <c r="AE6" s="17">
        <v>-16.100000000000001</v>
      </c>
      <c r="AF6" s="17">
        <v>-8.6</v>
      </c>
      <c r="AG6" s="17">
        <v>-3.2</v>
      </c>
      <c r="AH6" s="17">
        <v>0</v>
      </c>
      <c r="AI6" s="17">
        <v>1.2</v>
      </c>
      <c r="AJ6" s="17">
        <v>1</v>
      </c>
      <c r="AK6" s="17">
        <v>-1.1000000000000001</v>
      </c>
      <c r="AL6" s="35"/>
    </row>
    <row r="7" spans="1:41" ht="15.75" customHeight="1" x14ac:dyDescent="0.2">
      <c r="A7" s="107" t="s">
        <v>19</v>
      </c>
      <c r="B7" s="107"/>
      <c r="C7" s="107"/>
      <c r="D7" s="107"/>
      <c r="E7" s="107"/>
      <c r="F7" s="107"/>
      <c r="G7" s="107"/>
      <c r="H7" s="107"/>
      <c r="I7" s="107"/>
      <c r="J7" s="107"/>
      <c r="K7" s="107"/>
      <c r="L7" s="107"/>
      <c r="M7" s="13"/>
      <c r="N7" s="9"/>
      <c r="O7" s="9"/>
      <c r="P7" s="9"/>
      <c r="Q7" s="9"/>
      <c r="R7" s="9"/>
      <c r="S7" s="9"/>
      <c r="T7" s="9"/>
      <c r="U7" s="9"/>
      <c r="V7" s="9"/>
      <c r="W7" s="9"/>
      <c r="X7" s="9"/>
      <c r="Y7" s="9"/>
    </row>
    <row r="8" spans="1:41" ht="15.75" customHeight="1" x14ac:dyDescent="0.2">
      <c r="A8" s="107" t="s">
        <v>20</v>
      </c>
      <c r="B8" s="107"/>
      <c r="C8" s="107"/>
      <c r="D8" s="107"/>
      <c r="E8" s="107"/>
      <c r="F8" s="107"/>
      <c r="G8" s="107"/>
      <c r="H8" s="107"/>
      <c r="I8" s="107"/>
      <c r="J8" s="107"/>
      <c r="K8" s="107"/>
      <c r="L8" s="107"/>
      <c r="M8" s="13"/>
      <c r="N8" s="9"/>
      <c r="O8" s="9"/>
      <c r="P8" s="9"/>
      <c r="Q8" s="9"/>
      <c r="R8" s="9"/>
      <c r="S8" s="9"/>
      <c r="T8" s="9"/>
      <c r="U8" s="9"/>
      <c r="V8" s="9"/>
      <c r="W8" s="9"/>
      <c r="X8" s="9"/>
      <c r="Y8" s="9"/>
      <c r="AA8" s="80" t="s">
        <v>40</v>
      </c>
      <c r="AB8" s="80"/>
      <c r="AC8" s="80"/>
    </row>
    <row r="9" spans="1:41" ht="15.75" customHeight="1" x14ac:dyDescent="0.2">
      <c r="A9" s="14"/>
      <c r="B9" s="14"/>
      <c r="C9" s="14"/>
      <c r="D9" s="14"/>
      <c r="E9" s="14"/>
      <c r="F9" s="14"/>
      <c r="G9" s="14"/>
      <c r="H9" s="14"/>
      <c r="I9" s="14"/>
      <c r="AA9" s="38" t="s">
        <v>5</v>
      </c>
      <c r="AB9" s="50" t="s">
        <v>59</v>
      </c>
      <c r="AC9" s="38">
        <v>31.5</v>
      </c>
      <c r="AD9" s="38">
        <v>63</v>
      </c>
      <c r="AE9" s="38">
        <v>125</v>
      </c>
      <c r="AF9" s="38">
        <v>250</v>
      </c>
      <c r="AG9" s="38">
        <v>500</v>
      </c>
      <c r="AH9" s="38">
        <v>1000</v>
      </c>
      <c r="AI9" s="38">
        <v>2000</v>
      </c>
      <c r="AJ9" s="38">
        <v>4000</v>
      </c>
      <c r="AK9" s="38">
        <v>8000</v>
      </c>
      <c r="AL9" s="38" t="s">
        <v>38</v>
      </c>
    </row>
    <row r="10" spans="1:41" ht="15.75" customHeight="1" x14ac:dyDescent="0.2">
      <c r="A10" s="92" t="s">
        <v>16</v>
      </c>
      <c r="B10" s="92"/>
      <c r="C10" s="92"/>
      <c r="D10" s="93" t="str">
        <f>IF($L$26=1,"","Zadejte správné hodnoty...")</f>
        <v/>
      </c>
      <c r="E10" s="93"/>
      <c r="F10" s="93"/>
      <c r="G10" s="93"/>
      <c r="H10" s="93"/>
      <c r="I10" s="93"/>
      <c r="J10" s="93"/>
      <c r="K10" s="93"/>
      <c r="L10" s="93"/>
      <c r="N10" s="87" t="s">
        <v>49</v>
      </c>
      <c r="O10" s="87"/>
      <c r="P10" s="87"/>
      <c r="Q10" s="87"/>
      <c r="R10" s="91" t="s">
        <v>65</v>
      </c>
      <c r="S10" s="91"/>
      <c r="T10" s="91"/>
      <c r="U10" s="91"/>
      <c r="V10" s="91"/>
      <c r="W10" s="91"/>
      <c r="X10" s="91"/>
      <c r="Y10" s="114" t="s">
        <v>6</v>
      </c>
      <c r="AA10" s="50" t="s">
        <v>62</v>
      </c>
      <c r="AB10" s="50" t="s">
        <v>57</v>
      </c>
      <c r="AC10" s="17">
        <f t="shared" ref="AC10:AK10" si="0">IF($Y$10="L",P12,IF($Y$10="A",IF((P12-AC6)&lt;0,0,P12-AC6)))</f>
        <v>75</v>
      </c>
      <c r="AD10" s="17">
        <f t="shared" si="0"/>
        <v>90</v>
      </c>
      <c r="AE10" s="17">
        <f t="shared" si="0"/>
        <v>100</v>
      </c>
      <c r="AF10" s="17">
        <f t="shared" si="0"/>
        <v>103</v>
      </c>
      <c r="AG10" s="17">
        <f t="shared" si="0"/>
        <v>99</v>
      </c>
      <c r="AH10" s="17">
        <f t="shared" si="0"/>
        <v>94</v>
      </c>
      <c r="AI10" s="17">
        <f t="shared" si="0"/>
        <v>84</v>
      </c>
      <c r="AJ10" s="17">
        <f t="shared" si="0"/>
        <v>78</v>
      </c>
      <c r="AK10" s="17">
        <f t="shared" si="0"/>
        <v>74</v>
      </c>
      <c r="AL10" s="20">
        <f>IF(10*LOG10((10^(AC10/10))+(10^(AD10/10))+(10^(AE10/10))+(10^(AF10/10))+(10^(AG10/10))+(10^(AH10/10))+(10^(AI10/10))+(10^(AJ10/10))+(10^(AK10/10)))&lt;20,"&lt;20",10*LOG10((10^(AC10/10))+(10^(AD10/10))+(10^(AE10/10))+(10^(AF10/10))+(10^(AG10/10))+(10^(AH10/10))+(10^(AI10/10))+(10^(AJ10/10))+(10^(AK10/10))))</f>
        <v>106.20956148272913</v>
      </c>
    </row>
    <row r="11" spans="1:41" ht="15.75" customHeight="1" x14ac:dyDescent="0.2">
      <c r="A11" s="5" t="s">
        <v>36</v>
      </c>
      <c r="B11" s="1" t="s">
        <v>0</v>
      </c>
      <c r="C11" s="1"/>
      <c r="D11" s="1"/>
      <c r="E11" s="1"/>
      <c r="F11" s="1"/>
      <c r="G11" s="1"/>
      <c r="H11" s="1"/>
      <c r="I11" s="15"/>
      <c r="J11" s="15"/>
      <c r="K11" s="89">
        <f>IF(L26=0,"",(0.5*$B$20*$B$23^2*$B$25)*(1+B19))</f>
        <v>96.209437462390554</v>
      </c>
      <c r="L11" s="90"/>
      <c r="N11" s="2" t="s">
        <v>5</v>
      </c>
      <c r="O11" s="3" t="s">
        <v>59</v>
      </c>
      <c r="P11" s="3">
        <v>31.5</v>
      </c>
      <c r="Q11" s="3">
        <v>63</v>
      </c>
      <c r="R11" s="3">
        <v>125</v>
      </c>
      <c r="S11" s="3">
        <v>250</v>
      </c>
      <c r="T11" s="3">
        <v>500</v>
      </c>
      <c r="U11" s="3">
        <v>1000</v>
      </c>
      <c r="V11" s="3">
        <v>2000</v>
      </c>
      <c r="W11" s="3">
        <v>4000</v>
      </c>
      <c r="X11" s="3">
        <v>8000</v>
      </c>
      <c r="Y11" s="2" t="s">
        <v>23</v>
      </c>
      <c r="AA11" s="50" t="s">
        <v>43</v>
      </c>
      <c r="AB11" s="50" t="s">
        <v>60</v>
      </c>
      <c r="AC11" s="17">
        <f t="shared" ref="AC11:AK11" si="1">IF($Y$10="A",P12,IF($Y$10="L",IF((P12+AC6)&lt;0,0,P12+AC6)))</f>
        <v>35.6</v>
      </c>
      <c r="AD11" s="17">
        <f t="shared" si="1"/>
        <v>63.8</v>
      </c>
      <c r="AE11" s="17">
        <f t="shared" si="1"/>
        <v>83.9</v>
      </c>
      <c r="AF11" s="17">
        <f t="shared" si="1"/>
        <v>94.4</v>
      </c>
      <c r="AG11" s="17">
        <f t="shared" si="1"/>
        <v>95.8</v>
      </c>
      <c r="AH11" s="17">
        <f t="shared" si="1"/>
        <v>94</v>
      </c>
      <c r="AI11" s="17">
        <f t="shared" si="1"/>
        <v>85.2</v>
      </c>
      <c r="AJ11" s="17">
        <f t="shared" si="1"/>
        <v>79</v>
      </c>
      <c r="AK11" s="17">
        <f t="shared" si="1"/>
        <v>72.900000000000006</v>
      </c>
      <c r="AL11" s="20">
        <f>IF(10*LOG10((10^(AC11/10))+(10^(AD11/10))+(10^(AE11/10))+(10^(AF11/10))+(10^(AG11/10))+(10^(AH11/10))+(10^(AI11/10))+(10^(AJ11/10))+(10^(AK11/10)))&lt;20,"&lt;20",10*LOG10((10^(AC11/10))+(10^(AD11/10))+(10^(AE11/10))+(10^(AF11/10))+(10^(AG11/10))+(10^(AH11/10))+(10^(AI11/10))+(10^(AJ11/10))+(10^(AK11/10))))</f>
        <v>99.888239492271751</v>
      </c>
    </row>
    <row r="12" spans="1:41" ht="15.75" customHeight="1" x14ac:dyDescent="0.2">
      <c r="A12" s="4" t="s">
        <v>1</v>
      </c>
      <c r="B12" s="109">
        <v>4000</v>
      </c>
      <c r="C12" s="109"/>
      <c r="D12" s="42" t="s">
        <v>71</v>
      </c>
      <c r="E12" s="84" t="str">
        <f>IF(L12=1,"celkový průtok vzduchu tlumičem","zadejte průtok větší než 0 m3/h")</f>
        <v>celkový průtok vzduchu tlumičem</v>
      </c>
      <c r="F12" s="85"/>
      <c r="G12" s="85"/>
      <c r="H12" s="85"/>
      <c r="I12" s="85"/>
      <c r="J12" s="85"/>
      <c r="K12" s="85"/>
      <c r="L12" s="7">
        <f>IF(B12&lt;=0,0,1)</f>
        <v>1</v>
      </c>
      <c r="N12" s="39" t="str">
        <f>IF($Y$10="L","LWZ-Lin",IF($Y$10="A","LWZ-A",""))</f>
        <v>LWZ-Lin</v>
      </c>
      <c r="O12" s="3" t="s">
        <v>57</v>
      </c>
      <c r="P12" s="113">
        <v>75</v>
      </c>
      <c r="Q12" s="113">
        <v>90</v>
      </c>
      <c r="R12" s="113">
        <v>100</v>
      </c>
      <c r="S12" s="113">
        <v>103</v>
      </c>
      <c r="T12" s="113">
        <v>99</v>
      </c>
      <c r="U12" s="113">
        <v>94</v>
      </c>
      <c r="V12" s="113">
        <v>84</v>
      </c>
      <c r="W12" s="113">
        <v>78</v>
      </c>
      <c r="X12" s="113">
        <v>74</v>
      </c>
      <c r="Y12" s="16">
        <f>AL11</f>
        <v>99.888239492271751</v>
      </c>
      <c r="AA12" s="50" t="s">
        <v>37</v>
      </c>
      <c r="AB12" s="50" t="s">
        <v>57</v>
      </c>
      <c r="AC12" s="40">
        <f>IF($L$26=0,"",AM22)</f>
        <v>4</v>
      </c>
      <c r="AD12" s="40">
        <f t="shared" ref="AD12:AK12" si="2">IF($L$26=0,"",AN22)</f>
        <v>5</v>
      </c>
      <c r="AE12" s="40">
        <f t="shared" si="2"/>
        <v>14</v>
      </c>
      <c r="AF12" s="40">
        <f t="shared" si="2"/>
        <v>27</v>
      </c>
      <c r="AG12" s="40">
        <f t="shared" si="2"/>
        <v>46</v>
      </c>
      <c r="AH12" s="40">
        <f t="shared" si="2"/>
        <v>50</v>
      </c>
      <c r="AI12" s="40">
        <f t="shared" si="2"/>
        <v>35</v>
      </c>
      <c r="AJ12" s="40">
        <f t="shared" si="2"/>
        <v>19</v>
      </c>
      <c r="AK12" s="40">
        <f t="shared" si="2"/>
        <v>15</v>
      </c>
      <c r="AL12" s="50" t="s">
        <v>22</v>
      </c>
    </row>
    <row r="13" spans="1:41" ht="15.75" customHeight="1" x14ac:dyDescent="0.2">
      <c r="A13" s="38" t="s">
        <v>96</v>
      </c>
      <c r="B13" s="110">
        <v>250</v>
      </c>
      <c r="C13" s="110"/>
      <c r="D13" s="3" t="s">
        <v>52</v>
      </c>
      <c r="E13" s="94" t="str">
        <f>IF(L13=1,"nominální průměr tlumiče","zadejte správný nominální průměr - rozlišujte GD a GDE")</f>
        <v>nominální průměr tlumiče</v>
      </c>
      <c r="F13" s="95"/>
      <c r="G13" s="95"/>
      <c r="H13" s="95"/>
      <c r="I13" s="95"/>
      <c r="J13" s="95"/>
      <c r="K13" s="95"/>
      <c r="L13" s="6">
        <f>IF(ISERR(DGET(AA25:AU145,"Vstup",AA21:AC22)),0,1)</f>
        <v>1</v>
      </c>
      <c r="N13" s="2" t="s">
        <v>25</v>
      </c>
      <c r="O13" s="3" t="s">
        <v>57</v>
      </c>
      <c r="P13" s="41">
        <f t="shared" ref="P13:X13" si="3">C34</f>
        <v>4</v>
      </c>
      <c r="Q13" s="41">
        <f t="shared" si="3"/>
        <v>5</v>
      </c>
      <c r="R13" s="41">
        <f t="shared" si="3"/>
        <v>14</v>
      </c>
      <c r="S13" s="41">
        <f t="shared" si="3"/>
        <v>27</v>
      </c>
      <c r="T13" s="41">
        <f t="shared" si="3"/>
        <v>46</v>
      </c>
      <c r="U13" s="41">
        <f t="shared" si="3"/>
        <v>50</v>
      </c>
      <c r="V13" s="41">
        <f t="shared" si="3"/>
        <v>35</v>
      </c>
      <c r="W13" s="41">
        <f t="shared" si="3"/>
        <v>19</v>
      </c>
      <c r="X13" s="41">
        <f t="shared" si="3"/>
        <v>15</v>
      </c>
      <c r="Y13" s="3" t="s">
        <v>22</v>
      </c>
      <c r="AA13" s="50" t="s">
        <v>63</v>
      </c>
      <c r="AB13" s="50" t="s">
        <v>57</v>
      </c>
      <c r="AC13" s="17">
        <f>IF($L$26=0,0,IF(AQ150&lt;0,0,AQ150))</f>
        <v>66.244377092545449</v>
      </c>
      <c r="AD13" s="17">
        <f t="shared" ref="AD13:AK13" si="4">IF($L$26=0,0,IF(AR150&lt;0,0,AR150))</f>
        <v>60.240984992852475</v>
      </c>
      <c r="AE13" s="17">
        <f t="shared" si="4"/>
        <v>54.35557992867988</v>
      </c>
      <c r="AF13" s="17">
        <f t="shared" si="4"/>
        <v>48.579824583251018</v>
      </c>
      <c r="AG13" s="17">
        <f t="shared" si="4"/>
        <v>43.298978510596278</v>
      </c>
      <c r="AH13" s="17">
        <f t="shared" si="4"/>
        <v>38.64233985432822</v>
      </c>
      <c r="AI13" s="17">
        <f t="shared" si="4"/>
        <v>33.802856645184875</v>
      </c>
      <c r="AJ13" s="17">
        <f t="shared" si="4"/>
        <v>28.296544632108642</v>
      </c>
      <c r="AK13" s="17">
        <f t="shared" si="4"/>
        <v>22.430113413424593</v>
      </c>
      <c r="AL13" s="20">
        <f>IF(10*LOG10((10^(AC13/10))+(10^(AD13/10))+(10^(AE13/10))+(10^(AF13/10))+(10^(AG13/10))+(10^(AH13/10))+(10^(AI13/10))+(10^(AJ13/10))+(10^(AK13/10)))&lt;20,"&lt;20",10*LOG10((10^(AC13/10))+(10^(AD13/10))+(10^(AE13/10))+(10^(AF13/10))+(10^(AG13/10))+(10^(AH13/10))+(10^(AI13/10))+(10^(AJ13/10))+(10^(AK13/10))))</f>
        <v>67.516820158319007</v>
      </c>
    </row>
    <row r="14" spans="1:41" ht="15.75" customHeight="1" x14ac:dyDescent="0.2">
      <c r="A14" s="38" t="s">
        <v>97</v>
      </c>
      <c r="B14" s="110">
        <v>2000</v>
      </c>
      <c r="C14" s="110"/>
      <c r="D14" s="3" t="s">
        <v>52</v>
      </c>
      <c r="E14" s="84" t="str">
        <f>IF(L14=1,"délka tlumiče (1000, 1500 nebo 2000), atypy na vyžádání","zadejte správnou délku tlumiče 1000, 1500 nebo 2000 mm")</f>
        <v>délka tlumiče (1000, 1500 nebo 2000), atypy na vyžádání</v>
      </c>
      <c r="F14" s="85"/>
      <c r="G14" s="85"/>
      <c r="H14" s="85"/>
      <c r="I14" s="85"/>
      <c r="J14" s="85"/>
      <c r="K14" s="85"/>
      <c r="L14" s="6">
        <f>IF(OR(B14=1000,B14=1500,B14=2000),1,0)</f>
        <v>1</v>
      </c>
      <c r="N14" s="39" t="str">
        <f>IF($Y$10="L","LWT-Lin",IF($Y$10="A","LWT-A",""))</f>
        <v>LWT-Lin</v>
      </c>
      <c r="O14" s="3" t="s">
        <v>57</v>
      </c>
      <c r="P14" s="17">
        <f t="shared" ref="P14:X14" si="5">IF($L$26=0,"",IF($Y$10="L",AC13,IF($Y$10="A",AC14,"")))</f>
        <v>66.244377092545449</v>
      </c>
      <c r="Q14" s="17">
        <f t="shared" si="5"/>
        <v>60.240984992852475</v>
      </c>
      <c r="R14" s="17">
        <f t="shared" si="5"/>
        <v>54.35557992867988</v>
      </c>
      <c r="S14" s="17">
        <f t="shared" si="5"/>
        <v>48.579824583251018</v>
      </c>
      <c r="T14" s="17">
        <f t="shared" si="5"/>
        <v>43.298978510596278</v>
      </c>
      <c r="U14" s="17">
        <f t="shared" si="5"/>
        <v>38.64233985432822</v>
      </c>
      <c r="V14" s="17">
        <f t="shared" si="5"/>
        <v>33.802856645184875</v>
      </c>
      <c r="W14" s="17">
        <f t="shared" si="5"/>
        <v>28.296544632108642</v>
      </c>
      <c r="X14" s="17">
        <f t="shared" si="5"/>
        <v>22.430113413424593</v>
      </c>
      <c r="Y14" s="16">
        <f>IF($L$26=0,"",AL14)</f>
        <v>46.165956741085346</v>
      </c>
      <c r="AA14" s="50" t="s">
        <v>44</v>
      </c>
      <c r="AB14" s="50" t="s">
        <v>60</v>
      </c>
      <c r="AC14" s="17">
        <f t="shared" ref="AC14:AK14" si="6">IF($L$26=0,0,IF((AC13+AC6)&lt;0,0,AC13+AC6))</f>
        <v>26.84437709254545</v>
      </c>
      <c r="AD14" s="17">
        <f t="shared" si="6"/>
        <v>34.040984992852472</v>
      </c>
      <c r="AE14" s="17">
        <f t="shared" si="6"/>
        <v>38.255579928679879</v>
      </c>
      <c r="AF14" s="17">
        <f t="shared" si="6"/>
        <v>39.979824583251016</v>
      </c>
      <c r="AG14" s="17">
        <f t="shared" si="6"/>
        <v>40.098978510596275</v>
      </c>
      <c r="AH14" s="17">
        <f t="shared" si="6"/>
        <v>38.64233985432822</v>
      </c>
      <c r="AI14" s="17">
        <f t="shared" si="6"/>
        <v>35.002856645184877</v>
      </c>
      <c r="AJ14" s="17">
        <f t="shared" si="6"/>
        <v>29.296544632108642</v>
      </c>
      <c r="AK14" s="17">
        <f t="shared" si="6"/>
        <v>21.330113413424591</v>
      </c>
      <c r="AL14" s="20">
        <f>IF(10*LOG10((10^(AC14/10))+(10^(AD14/10))+(10^(AE14/10))+(10^(AF14/10))+(10^(AG14/10))+(10^(AH14/10))+(10^(AI14/10))+(10^(AJ14/10))+(10^(AK14/10)))&lt;20,"&lt;20",10*LOG10((10^(AC14/10))+(10^(AD14/10))+(10^(AE14/10))+(10^(AF14/10))+(10^(AG14/10))+(10^(AH14/10))+(10^(AI14/10))+(10^(AJ14/10))+(10^(AK14/10))))</f>
        <v>46.165956741085346</v>
      </c>
    </row>
    <row r="15" spans="1:41" ht="15.75" customHeight="1" x14ac:dyDescent="0.2">
      <c r="A15" s="38" t="s">
        <v>14</v>
      </c>
      <c r="B15" s="110" t="s">
        <v>79</v>
      </c>
      <c r="C15" s="110"/>
      <c r="D15" s="3" t="s">
        <v>22</v>
      </c>
      <c r="E15" s="84" t="str">
        <f>IF(L15=1,"zadejte typ tlumiče GD nebo GDE","chybný typ tlumiče")</f>
        <v>zadejte typ tlumiče GD nebo GDE</v>
      </c>
      <c r="F15" s="85"/>
      <c r="G15" s="85"/>
      <c r="H15" s="85"/>
      <c r="I15" s="85"/>
      <c r="J15" s="85"/>
      <c r="K15" s="85"/>
      <c r="L15" s="6">
        <f>IF(OR(B15="GD",B15="GDE"),1,0)</f>
        <v>1</v>
      </c>
      <c r="N15" s="2" t="s">
        <v>26</v>
      </c>
      <c r="O15" s="3" t="s">
        <v>57</v>
      </c>
      <c r="P15" s="113">
        <v>0</v>
      </c>
      <c r="Q15" s="113">
        <v>0</v>
      </c>
      <c r="R15" s="113">
        <v>0</v>
      </c>
      <c r="S15" s="113">
        <v>0</v>
      </c>
      <c r="T15" s="113">
        <v>0</v>
      </c>
      <c r="U15" s="113">
        <v>0</v>
      </c>
      <c r="V15" s="113">
        <v>0</v>
      </c>
      <c r="W15" s="113">
        <v>0</v>
      </c>
      <c r="X15" s="113">
        <v>0</v>
      </c>
      <c r="Y15" s="3" t="s">
        <v>22</v>
      </c>
      <c r="AA15" s="50" t="s">
        <v>45</v>
      </c>
      <c r="AB15" s="50" t="s">
        <v>57</v>
      </c>
      <c r="AC15" s="17">
        <f t="shared" ref="AC15:AK15" si="7">P15</f>
        <v>0</v>
      </c>
      <c r="AD15" s="17">
        <f t="shared" si="7"/>
        <v>0</v>
      </c>
      <c r="AE15" s="17">
        <f t="shared" si="7"/>
        <v>0</v>
      </c>
      <c r="AF15" s="17">
        <f t="shared" si="7"/>
        <v>0</v>
      </c>
      <c r="AG15" s="17">
        <f t="shared" si="7"/>
        <v>0</v>
      </c>
      <c r="AH15" s="17">
        <f t="shared" si="7"/>
        <v>0</v>
      </c>
      <c r="AI15" s="17">
        <f t="shared" si="7"/>
        <v>0</v>
      </c>
      <c r="AJ15" s="17">
        <f t="shared" si="7"/>
        <v>0</v>
      </c>
      <c r="AK15" s="17">
        <f t="shared" si="7"/>
        <v>0</v>
      </c>
      <c r="AL15" s="50" t="s">
        <v>22</v>
      </c>
    </row>
    <row r="16" spans="1:41" ht="15.75" customHeight="1" x14ac:dyDescent="0.2">
      <c r="A16" s="38" t="s">
        <v>104</v>
      </c>
      <c r="B16" s="110">
        <v>0</v>
      </c>
      <c r="C16" s="110"/>
      <c r="D16" s="60" t="s">
        <v>22</v>
      </c>
      <c r="E16" s="84" t="str">
        <f>IF(L16=1,"provedení připojení tlumiče na potrubí","zadejte správné zakončení tlumiče: 0, 1 nebo 2")</f>
        <v>provedení připojení tlumiče na potrubí</v>
      </c>
      <c r="F16" s="85"/>
      <c r="G16" s="85"/>
      <c r="H16" s="85"/>
      <c r="I16" s="85"/>
      <c r="J16" s="85"/>
      <c r="K16" s="85"/>
      <c r="L16" s="6">
        <f>IF(B16="",0,IF(OR(B16=0,B16=1,B16=2),1,0))</f>
        <v>1</v>
      </c>
      <c r="N16" s="39" t="str">
        <f>IF($Y$10="L","LWC-Lin",IF($Y$10="A","LWC-A",""))</f>
        <v>LWC-Lin</v>
      </c>
      <c r="O16" s="3" t="s">
        <v>57</v>
      </c>
      <c r="P16" s="17">
        <f t="shared" ref="P16:X16" si="8">IF($L$26=0,"",IF($Y$10="L",AC16,IF($Y$10="A",AC17,"")))</f>
        <v>72.253290025529097</v>
      </c>
      <c r="Q16" s="17">
        <f t="shared" si="8"/>
        <v>85.014492988901139</v>
      </c>
      <c r="R16" s="17">
        <f t="shared" si="8"/>
        <v>86.00297299135346</v>
      </c>
      <c r="S16" s="17">
        <f t="shared" si="8"/>
        <v>76.007859117005069</v>
      </c>
      <c r="T16" s="17">
        <f t="shared" si="8"/>
        <v>53.441973365687602</v>
      </c>
      <c r="U16" s="17">
        <f t="shared" si="8"/>
        <v>45.110031285140799</v>
      </c>
      <c r="V16" s="17">
        <f t="shared" si="8"/>
        <v>49.129297187279789</v>
      </c>
      <c r="W16" s="17">
        <f t="shared" si="8"/>
        <v>59.003691936006327</v>
      </c>
      <c r="X16" s="17">
        <f t="shared" si="8"/>
        <v>59.000956638422331</v>
      </c>
      <c r="Y16" s="16">
        <f>IF($L$26=0,"",AL17)</f>
        <v>72.531220497210541</v>
      </c>
      <c r="AA16" s="50" t="s">
        <v>64</v>
      </c>
      <c r="AB16" s="50" t="s">
        <v>57</v>
      </c>
      <c r="AC16" s="17">
        <f t="shared" ref="AC16:AK16" si="9">IF($L$26=0,0,IF(10*LOG10(10^((AC10-AC12-AC15)/10)+10^(AC13/10))&lt;0,0,10*LOG10(10^((AC10-AC12-AC15)/10)+10^(AC13/10))))</f>
        <v>72.253290025529097</v>
      </c>
      <c r="AD16" s="17">
        <f t="shared" si="9"/>
        <v>85.014492988901139</v>
      </c>
      <c r="AE16" s="17">
        <f t="shared" si="9"/>
        <v>86.00297299135346</v>
      </c>
      <c r="AF16" s="17">
        <f t="shared" si="9"/>
        <v>76.007859117005069</v>
      </c>
      <c r="AG16" s="17">
        <f t="shared" si="9"/>
        <v>53.441973365687602</v>
      </c>
      <c r="AH16" s="17">
        <f t="shared" si="9"/>
        <v>45.110031285140799</v>
      </c>
      <c r="AI16" s="17">
        <f t="shared" si="9"/>
        <v>49.129297187279789</v>
      </c>
      <c r="AJ16" s="17">
        <f t="shared" si="9"/>
        <v>59.003691936006327</v>
      </c>
      <c r="AK16" s="17">
        <f t="shared" si="9"/>
        <v>59.000956638422331</v>
      </c>
      <c r="AL16" s="20">
        <f>IF(10*LOG10((10^(AC16/10))+(10^(AD16/10))+(10^(AE16/10))+(10^(AF16/10))+(10^(AG16/10))+(10^(AH16/10))+(10^(AI16/10))+(10^(AJ16/10))+(10^(AK16/10)))&lt;20,"&lt;20",10*LOG10((10^(AC16/10))+(10^(AD16/10))+(10^(AE16/10))+(10^(AF16/10))+(10^(AG16/10))+(10^(AH16/10))+(10^(AI16/10))+(10^(AJ16/10))+(10^(AK16/10))))</f>
        <v>88.888940460743058</v>
      </c>
    </row>
    <row r="17" spans="1:47" ht="15.75" customHeight="1" x14ac:dyDescent="0.2">
      <c r="A17" s="38" t="s">
        <v>15</v>
      </c>
      <c r="B17" s="111">
        <v>20</v>
      </c>
      <c r="C17" s="111"/>
      <c r="D17" s="3" t="s">
        <v>53</v>
      </c>
      <c r="E17" s="84" t="str">
        <f>IF(L17=1,"teplota vzduchu (-50 až 200°C)","zadejte teplotu v rozsahu -50 až 200°C")</f>
        <v>teplota vzduchu (-50 až 200°C)</v>
      </c>
      <c r="F17" s="85"/>
      <c r="G17" s="85"/>
      <c r="H17" s="85"/>
      <c r="I17" s="85"/>
      <c r="J17" s="85"/>
      <c r="K17" s="85"/>
      <c r="L17" s="7">
        <f>IF(B17="",0,IF(OR(B17&lt;-50,B17&gt;200),0,1))</f>
        <v>1</v>
      </c>
      <c r="N17" s="19" t="s">
        <v>34</v>
      </c>
      <c r="O17" s="3" t="s">
        <v>57</v>
      </c>
      <c r="P17" s="17">
        <f t="shared" ref="P17:X17" si="10">IF($L$26=0,"",AC18)</f>
        <v>2.7467099744709031</v>
      </c>
      <c r="Q17" s="17">
        <f t="shared" si="10"/>
        <v>4.9855070110988606</v>
      </c>
      <c r="R17" s="17">
        <f t="shared" si="10"/>
        <v>13.99702700864654</v>
      </c>
      <c r="S17" s="17">
        <f t="shared" si="10"/>
        <v>26.992140882994931</v>
      </c>
      <c r="T17" s="17">
        <f t="shared" si="10"/>
        <v>45.558026634312398</v>
      </c>
      <c r="U17" s="17">
        <f t="shared" si="10"/>
        <v>48.889968714859201</v>
      </c>
      <c r="V17" s="17">
        <f t="shared" si="10"/>
        <v>34.870702812720211</v>
      </c>
      <c r="W17" s="17">
        <f t="shared" si="10"/>
        <v>18.996308063993673</v>
      </c>
      <c r="X17" s="17">
        <f t="shared" si="10"/>
        <v>14.999043361577669</v>
      </c>
      <c r="Y17" s="18">
        <f>IF(OR($L$26=0,$Y$16="&lt;20",$Y$12="&lt;20"),"",$Y$12-$Y$16)</f>
        <v>27.35701899506121</v>
      </c>
      <c r="AA17" s="50" t="s">
        <v>46</v>
      </c>
      <c r="AB17" s="50" t="s">
        <v>60</v>
      </c>
      <c r="AC17" s="17">
        <f t="shared" ref="AC17:AK17" si="11">IF($L$26=0,0,IF((AC16+AC6)&lt;0,0,AC16+AC6))</f>
        <v>32.853290025529098</v>
      </c>
      <c r="AD17" s="17">
        <f t="shared" si="11"/>
        <v>58.814492988901137</v>
      </c>
      <c r="AE17" s="17">
        <f t="shared" si="11"/>
        <v>69.902972991353465</v>
      </c>
      <c r="AF17" s="17">
        <f t="shared" si="11"/>
        <v>67.407859117005074</v>
      </c>
      <c r="AG17" s="17">
        <f t="shared" si="11"/>
        <v>50.241973365687599</v>
      </c>
      <c r="AH17" s="17">
        <f t="shared" si="11"/>
        <v>45.110031285140799</v>
      </c>
      <c r="AI17" s="17">
        <f t="shared" si="11"/>
        <v>50.329297187279792</v>
      </c>
      <c r="AJ17" s="17">
        <f t="shared" si="11"/>
        <v>60.003691936006327</v>
      </c>
      <c r="AK17" s="17">
        <f t="shared" si="11"/>
        <v>57.900956638422329</v>
      </c>
      <c r="AL17" s="20">
        <f>IF(10*LOG10((10^(AC17/10))+(10^(AD17/10))+(10^(AE17/10))+(10^(AF17/10))+(10^(AG17/10))+(10^(AH17/10))+(10^(AI17/10))+(10^(AJ17/10))+(10^(AK17/10)))&lt;20,"&lt;20",10*LOG10((10^(AC17/10))+(10^(AD17/10))+(10^(AE17/10))+(10^(AF17/10))+(10^(AG17/10))+(10^(AH17/10))+(10^(AI17/10))+(10^(AJ17/10))+(10^(AK17/10))))</f>
        <v>72.531220497210541</v>
      </c>
    </row>
    <row r="18" spans="1:47" ht="15.75" customHeight="1" x14ac:dyDescent="0.2">
      <c r="A18" s="38" t="s">
        <v>8</v>
      </c>
      <c r="B18" s="110">
        <v>101325</v>
      </c>
      <c r="C18" s="110"/>
      <c r="D18" s="3" t="s">
        <v>54</v>
      </c>
      <c r="E18" s="84" t="str">
        <f>IF(L18=1,"statický tlak v potrubí (98000 až 110000 Pa)","zadejte statický tlak v rozsahu 98000 až 110000 Pa")</f>
        <v>statický tlak v potrubí (98000 až 110000 Pa)</v>
      </c>
      <c r="F18" s="85"/>
      <c r="G18" s="85"/>
      <c r="H18" s="85"/>
      <c r="I18" s="85"/>
      <c r="J18" s="85"/>
      <c r="K18" s="85"/>
      <c r="L18" s="7">
        <f>IF(OR(B18&lt;98000,B18&gt;110000),0,1)</f>
        <v>1</v>
      </c>
      <c r="N18" s="21"/>
      <c r="O18" s="21"/>
      <c r="P18" s="21"/>
      <c r="Q18" s="21"/>
      <c r="R18" s="21"/>
      <c r="S18" s="21"/>
      <c r="T18" s="21"/>
      <c r="U18" s="21"/>
      <c r="V18" s="21"/>
      <c r="W18" s="21"/>
      <c r="X18" s="21"/>
      <c r="Y18" s="21"/>
      <c r="AA18" s="50" t="s">
        <v>47</v>
      </c>
      <c r="AB18" s="50" t="s">
        <v>57</v>
      </c>
      <c r="AC18" s="17">
        <f t="shared" ref="AC18:AK18" si="12">IF($L$26=0,0,IF($Y$10="L",AC10-AC16,IF($Y$10="A",AC11-AC17,"")))</f>
        <v>2.7467099744709031</v>
      </c>
      <c r="AD18" s="17">
        <f t="shared" si="12"/>
        <v>4.9855070110988606</v>
      </c>
      <c r="AE18" s="17">
        <f t="shared" si="12"/>
        <v>13.99702700864654</v>
      </c>
      <c r="AF18" s="17">
        <f t="shared" si="12"/>
        <v>26.992140882994931</v>
      </c>
      <c r="AG18" s="17">
        <f t="shared" si="12"/>
        <v>45.558026634312398</v>
      </c>
      <c r="AH18" s="17">
        <f t="shared" si="12"/>
        <v>48.889968714859201</v>
      </c>
      <c r="AI18" s="17">
        <f t="shared" si="12"/>
        <v>34.870702812720211</v>
      </c>
      <c r="AJ18" s="17">
        <f t="shared" si="12"/>
        <v>18.996308063993673</v>
      </c>
      <c r="AK18" s="17">
        <f t="shared" si="12"/>
        <v>14.999043361577669</v>
      </c>
      <c r="AL18" s="50" t="s">
        <v>22</v>
      </c>
    </row>
    <row r="19" spans="1:47" ht="15.75" customHeight="1" x14ac:dyDescent="0.2">
      <c r="A19" s="38" t="s">
        <v>13</v>
      </c>
      <c r="B19" s="112">
        <v>0.2</v>
      </c>
      <c r="C19" s="112"/>
      <c r="D19" s="3" t="s">
        <v>55</v>
      </c>
      <c r="E19" s="84" t="str">
        <f>IF(L19=1,"rezerva na místní podmínky - procentuální navýšení ztráty","rezerva musí být vždy kladné číslo")</f>
        <v>rezerva na místní podmínky - procentuální navýšení ztráty</v>
      </c>
      <c r="F19" s="85"/>
      <c r="G19" s="85"/>
      <c r="H19" s="85"/>
      <c r="I19" s="85"/>
      <c r="J19" s="85"/>
      <c r="K19" s="85"/>
      <c r="L19" s="7">
        <f>IF(B19&lt;0,0,1)</f>
        <v>1</v>
      </c>
      <c r="N19" s="88" t="s">
        <v>48</v>
      </c>
      <c r="O19" s="88"/>
      <c r="P19" s="88"/>
      <c r="Q19" s="88"/>
      <c r="R19" s="88"/>
      <c r="S19" s="88"/>
      <c r="T19" s="88"/>
      <c r="U19" s="88"/>
      <c r="V19" s="88"/>
      <c r="W19" s="88"/>
      <c r="X19" s="88"/>
      <c r="Y19" s="88"/>
    </row>
    <row r="20" spans="1:47" ht="15.75" customHeight="1" x14ac:dyDescent="0.2">
      <c r="A20" s="38" t="s">
        <v>12</v>
      </c>
      <c r="B20" s="86">
        <f>IF($L$26=0,"",$B$18/(287.15*(273.15+$B$17)))</f>
        <v>1.2036989821185216</v>
      </c>
      <c r="C20" s="86"/>
      <c r="D20" s="43" t="s">
        <v>72</v>
      </c>
      <c r="E20" s="84" t="s">
        <v>18</v>
      </c>
      <c r="F20" s="85"/>
      <c r="G20" s="85"/>
      <c r="H20" s="85"/>
      <c r="I20" s="85"/>
      <c r="J20" s="85"/>
      <c r="K20" s="85"/>
      <c r="L20" s="7"/>
      <c r="N20" s="22"/>
      <c r="O20" s="23"/>
      <c r="P20" s="23"/>
      <c r="Q20" s="23"/>
      <c r="R20" s="23"/>
      <c r="S20" s="23"/>
      <c r="T20" s="23"/>
      <c r="U20" s="23"/>
      <c r="V20" s="23"/>
      <c r="W20" s="23"/>
      <c r="X20" s="23"/>
      <c r="Y20" s="24"/>
      <c r="AA20" s="80" t="s">
        <v>42</v>
      </c>
      <c r="AB20" s="80"/>
      <c r="AC20" s="80"/>
    </row>
    <row r="21" spans="1:47" ht="15.75" customHeight="1" x14ac:dyDescent="0.2">
      <c r="A21" s="38" t="s">
        <v>2</v>
      </c>
      <c r="B21" s="96">
        <f>IF($L$26=0,"",PI()/4*($B$13/1000)^2)</f>
        <v>4.9087385212340517E-2</v>
      </c>
      <c r="C21" s="96"/>
      <c r="D21" s="43" t="s">
        <v>73</v>
      </c>
      <c r="E21" s="84" t="s">
        <v>87</v>
      </c>
      <c r="F21" s="85"/>
      <c r="G21" s="85"/>
      <c r="H21" s="85"/>
      <c r="I21" s="85"/>
      <c r="J21" s="85"/>
      <c r="K21" s="85"/>
      <c r="L21" s="6"/>
      <c r="N21" s="25"/>
      <c r="O21" s="9"/>
      <c r="P21" s="9"/>
      <c r="Q21" s="9"/>
      <c r="R21" s="9"/>
      <c r="S21" s="9"/>
      <c r="T21" s="9"/>
      <c r="U21" s="9"/>
      <c r="V21" s="9"/>
      <c r="W21" s="9"/>
      <c r="X21" s="9"/>
      <c r="Y21" s="26"/>
      <c r="AA21" s="38" t="s">
        <v>28</v>
      </c>
      <c r="AB21" s="38" t="s">
        <v>80</v>
      </c>
      <c r="AC21" s="38" t="s">
        <v>29</v>
      </c>
      <c r="AD21" s="52" t="s">
        <v>50</v>
      </c>
      <c r="AE21" s="15"/>
      <c r="AF21" s="37"/>
      <c r="AG21" s="38" t="s">
        <v>86</v>
      </c>
      <c r="AH21" s="38" t="s">
        <v>81</v>
      </c>
      <c r="AI21" s="38" t="s">
        <v>35</v>
      </c>
      <c r="AJ21" s="38" t="s">
        <v>82</v>
      </c>
      <c r="AK21" s="38" t="s">
        <v>51</v>
      </c>
      <c r="AL21" s="38" t="s">
        <v>105</v>
      </c>
      <c r="AM21" s="38">
        <v>31.5</v>
      </c>
      <c r="AN21" s="38">
        <v>63</v>
      </c>
      <c r="AO21" s="38">
        <v>125</v>
      </c>
      <c r="AP21" s="38">
        <v>250</v>
      </c>
      <c r="AQ21" s="38">
        <v>500</v>
      </c>
      <c r="AR21" s="38">
        <v>1000</v>
      </c>
      <c r="AS21" s="38">
        <v>2000</v>
      </c>
      <c r="AT21" s="38">
        <v>4000</v>
      </c>
      <c r="AU21" s="38">
        <v>8000</v>
      </c>
    </row>
    <row r="22" spans="1:47" ht="15.75" customHeight="1" x14ac:dyDescent="0.2">
      <c r="A22" s="38" t="s">
        <v>88</v>
      </c>
      <c r="B22" s="96">
        <f>IF($L$26=0,"",PI()/4*($B$13^2-$AG$22^2)/1000000)</f>
        <v>4.9087385212340517E-2</v>
      </c>
      <c r="C22" s="96"/>
      <c r="D22" s="43" t="s">
        <v>73</v>
      </c>
      <c r="E22" s="84" t="s">
        <v>85</v>
      </c>
      <c r="F22" s="85"/>
      <c r="G22" s="85"/>
      <c r="H22" s="85"/>
      <c r="I22" s="85"/>
      <c r="J22" s="85"/>
      <c r="K22" s="85"/>
      <c r="L22" s="6"/>
      <c r="N22" s="25"/>
      <c r="O22" s="9"/>
      <c r="P22" s="9"/>
      <c r="Q22" s="9"/>
      <c r="R22" s="9"/>
      <c r="S22" s="9"/>
      <c r="T22" s="9"/>
      <c r="U22" s="9"/>
      <c r="V22" s="9"/>
      <c r="W22" s="9"/>
      <c r="X22" s="9"/>
      <c r="Y22" s="26"/>
      <c r="AA22" s="50" t="str">
        <f>CONCATENATE("=",B15)</f>
        <v>=GD</v>
      </c>
      <c r="AB22" s="34">
        <f>B13</f>
        <v>250</v>
      </c>
      <c r="AC22" s="34">
        <f>B14</f>
        <v>2000</v>
      </c>
      <c r="AD22" s="53" t="str">
        <f>IF(ISERR(DGET(AA25:AU145,"Označení tlumiče",AA21:AC22)),"",DGET(AA25:AU145,"Označení tlumiče",AA21:AC22))</f>
        <v>GD 250-2000</v>
      </c>
      <c r="AE22" s="15"/>
      <c r="AF22" s="37"/>
      <c r="AG22" s="50">
        <f>IF(ISERR(DGET(AA25:AU145,"Jádro",AA21:AC22)),"",DGET(AA25:AU145,"Jádro",AA21:AC22))</f>
        <v>0</v>
      </c>
      <c r="AH22" s="50">
        <f>IF(ISERR(DGET(AA25:AU145,"Vnější",AA21:AC22)),"",DGET(AA25:AU145,"Vnější",AA21:AC22))</f>
        <v>450</v>
      </c>
      <c r="AI22" s="50">
        <f>IF(ISERR(DGET(AA25:AU145,"Váha",AA21:AC22)),"",DGET(AA25:AU145,"Váha",AA21:AC22))</f>
        <v>39.1</v>
      </c>
      <c r="AJ22" s="50">
        <f>IF(ISERR(DGET(AA25:AU145,"Ksi",AA21:AC22)),"",DGET(AA25:AU145,"Ksi",AA21:AC22))</f>
        <v>0.26</v>
      </c>
      <c r="AK22" s="50">
        <f>IF(ISERR(DGET(AA25:AU145,"Cena",AA21:AC22)),"",DGET(AA25:AU145,"Cena",AA21:AC22))</f>
        <v>6465</v>
      </c>
      <c r="AL22" s="60">
        <f>IF(ISERR(DGET(AA25:AU145,"Příruba",AA21:AC22)),"",DGET(AA25:AU145,"Příruba",AA21:AC22))</f>
        <v>625</v>
      </c>
      <c r="AM22" s="50">
        <f>IF(ISERR(DGET(AA25:AU145,"31,5",AA21:AC22)),"",DGET(AA25:AU145,"31,5",AA21:AC22))</f>
        <v>4</v>
      </c>
      <c r="AN22" s="50">
        <f>IF(ISERR(DGET(AA25:AU145,"63",AA21:AC22)),"",DGET(AA25:AU145,"63",AA21:AC22))</f>
        <v>5</v>
      </c>
      <c r="AO22" s="50">
        <f>IF(ISERR(DGET(AA25:AU145,"125",AA21:AC22)),"",DGET(AA25:AU145,"125",AA21:AC22))</f>
        <v>14</v>
      </c>
      <c r="AP22" s="50">
        <f>IF(ISERR(DGET(AA25:AU145,"250",AA21:AC22)),"",DGET(AA25:AU145,"250",AA21:AC22))</f>
        <v>27</v>
      </c>
      <c r="AQ22" s="50">
        <f>IF(ISERR(DGET(AA25:AU145,"500",AA21:AC22)),"",DGET(AA25:AU145,"500",AA21:AC22))</f>
        <v>46</v>
      </c>
      <c r="AR22" s="50">
        <f>IF(ISERR(DGET(AA25:AU145,"1000",AA21:AC22)),"",DGET(AA25:AU145,"1000",AA21:AC22))</f>
        <v>50</v>
      </c>
      <c r="AS22" s="50">
        <f>IF(ISERR(DGET(AA25:AU145,"2000",AA21:AC22)),"",DGET(AA25:AU145,"2000",AA21:AC22))</f>
        <v>35</v>
      </c>
      <c r="AT22" s="50">
        <f>IF(ISERR(DGET(AA25:AU145,"4000",AA21:AC22)),"",DGET(AA25:AU145,"4000",AA21:AC22))</f>
        <v>19</v>
      </c>
      <c r="AU22" s="50">
        <f>IF(ISERR(DGET(AA25:AU145,"8000",AA21:AC22)),"",DGET(AA25:AU145,"8000",AA21:AC22))</f>
        <v>15</v>
      </c>
    </row>
    <row r="23" spans="1:47" ht="15.75" customHeight="1" x14ac:dyDescent="0.2">
      <c r="A23" s="38" t="s">
        <v>4</v>
      </c>
      <c r="B23" s="86">
        <f>IF($L$26=0,"",$B$12/3600/$B$21)</f>
        <v>22.63536968418067</v>
      </c>
      <c r="C23" s="86"/>
      <c r="D23" s="3" t="s">
        <v>56</v>
      </c>
      <c r="E23" s="84" t="s">
        <v>89</v>
      </c>
      <c r="F23" s="85"/>
      <c r="G23" s="85"/>
      <c r="H23" s="85"/>
      <c r="I23" s="85"/>
      <c r="J23" s="85"/>
      <c r="K23" s="85"/>
      <c r="L23" s="7"/>
      <c r="N23" s="25"/>
      <c r="O23" s="9"/>
      <c r="P23" s="9"/>
      <c r="Q23" s="9"/>
      <c r="R23" s="9"/>
      <c r="S23" s="9"/>
      <c r="T23" s="9"/>
      <c r="U23" s="9"/>
      <c r="V23" s="9"/>
      <c r="W23" s="9"/>
      <c r="X23" s="9"/>
      <c r="Y23" s="26"/>
    </row>
    <row r="24" spans="1:47" ht="15.75" customHeight="1" x14ac:dyDescent="0.2">
      <c r="A24" s="38" t="s">
        <v>24</v>
      </c>
      <c r="B24" s="86">
        <f>IF($L$26=0,"",$B$12/3600/$B$22)</f>
        <v>22.63536968418067</v>
      </c>
      <c r="C24" s="86"/>
      <c r="D24" s="3" t="s">
        <v>56</v>
      </c>
      <c r="E24" s="84" t="str">
        <f>IF(L24=1,"rychlost proudění uvnitř v tlumiči","rychlost proudění překračuje 25 m/s, zvolte větší dimenzi")</f>
        <v>rychlost proudění uvnitř v tlumiči</v>
      </c>
      <c r="F24" s="85"/>
      <c r="G24" s="85"/>
      <c r="H24" s="85"/>
      <c r="I24" s="85"/>
      <c r="J24" s="85"/>
      <c r="K24" s="85"/>
      <c r="L24" s="6">
        <f>IF(B24="",1,IF(B24&lt;=25,1,0))</f>
        <v>1</v>
      </c>
      <c r="N24" s="25"/>
      <c r="O24" s="9"/>
      <c r="P24" s="9"/>
      <c r="Q24" s="9"/>
      <c r="R24" s="9"/>
      <c r="S24" s="9"/>
      <c r="T24" s="9"/>
      <c r="U24" s="9"/>
      <c r="V24" s="9"/>
      <c r="W24" s="9"/>
      <c r="X24" s="9"/>
      <c r="Y24" s="26"/>
      <c r="AA24" s="80" t="s">
        <v>41</v>
      </c>
      <c r="AB24" s="80"/>
      <c r="AC24" s="80"/>
    </row>
    <row r="25" spans="1:47" ht="15.75" customHeight="1" x14ac:dyDescent="0.2">
      <c r="A25" s="59" t="s">
        <v>99</v>
      </c>
      <c r="B25" s="86">
        <f>IF($L$26=0,"",$AJ$22)</f>
        <v>0.26</v>
      </c>
      <c r="C25" s="86"/>
      <c r="D25" s="3" t="s">
        <v>22</v>
      </c>
      <c r="E25" s="84" t="s">
        <v>90</v>
      </c>
      <c r="F25" s="85"/>
      <c r="G25" s="85"/>
      <c r="H25" s="85"/>
      <c r="I25" s="85"/>
      <c r="J25" s="85"/>
      <c r="K25" s="85"/>
      <c r="L25" s="6"/>
      <c r="N25" s="25"/>
      <c r="O25" s="9"/>
      <c r="P25" s="9"/>
      <c r="Q25" s="9"/>
      <c r="R25" s="9"/>
      <c r="S25" s="9"/>
      <c r="T25" s="9"/>
      <c r="U25" s="9"/>
      <c r="V25" s="9"/>
      <c r="W25" s="9"/>
      <c r="X25" s="9"/>
      <c r="Y25" s="26"/>
      <c r="AA25" s="81" t="s">
        <v>50</v>
      </c>
      <c r="AB25" s="82"/>
      <c r="AC25" s="83"/>
      <c r="AD25" s="38" t="s">
        <v>28</v>
      </c>
      <c r="AE25" s="38" t="s">
        <v>80</v>
      </c>
      <c r="AF25" s="38" t="s">
        <v>86</v>
      </c>
      <c r="AG25" s="38" t="s">
        <v>81</v>
      </c>
      <c r="AH25" s="38" t="s">
        <v>29</v>
      </c>
      <c r="AI25" s="38" t="s">
        <v>35</v>
      </c>
      <c r="AJ25" s="38" t="s">
        <v>82</v>
      </c>
      <c r="AK25" s="38" t="s">
        <v>51</v>
      </c>
      <c r="AL25" s="38" t="s">
        <v>105</v>
      </c>
      <c r="AM25" s="38">
        <v>31.5</v>
      </c>
      <c r="AN25" s="38">
        <v>63</v>
      </c>
      <c r="AO25" s="38">
        <v>125</v>
      </c>
      <c r="AP25" s="38">
        <v>250</v>
      </c>
      <c r="AQ25" s="38">
        <v>500</v>
      </c>
      <c r="AR25" s="38">
        <v>1000</v>
      </c>
      <c r="AS25" s="38">
        <v>2000</v>
      </c>
      <c r="AT25" s="38">
        <v>4000</v>
      </c>
      <c r="AU25" s="38">
        <v>8000</v>
      </c>
    </row>
    <row r="26" spans="1:47" ht="15.75" customHeight="1" x14ac:dyDescent="0.2">
      <c r="A26" s="38" t="s">
        <v>3</v>
      </c>
      <c r="B26" s="86">
        <f>IF($L$26=0,"",(1.4*287.15*(273.15+$B$17))^0.5)</f>
        <v>343.29175856696583</v>
      </c>
      <c r="C26" s="86"/>
      <c r="D26" s="3" t="s">
        <v>56</v>
      </c>
      <c r="E26" s="84" t="s">
        <v>21</v>
      </c>
      <c r="F26" s="85"/>
      <c r="G26" s="85"/>
      <c r="H26" s="85"/>
      <c r="I26" s="85"/>
      <c r="J26" s="85"/>
      <c r="K26" s="85"/>
      <c r="L26" s="6">
        <f>L12*L13*L14*L15*L16*L17*L18*L19</f>
        <v>1</v>
      </c>
      <c r="N26" s="25"/>
      <c r="O26" s="9"/>
      <c r="P26" s="9"/>
      <c r="Q26" s="9"/>
      <c r="R26" s="9"/>
      <c r="S26" s="9"/>
      <c r="T26" s="9"/>
      <c r="U26" s="9"/>
      <c r="V26" s="9"/>
      <c r="W26" s="9"/>
      <c r="X26" s="9"/>
      <c r="Y26" s="26"/>
      <c r="AA26" s="36" t="s">
        <v>112</v>
      </c>
      <c r="AB26" s="55"/>
      <c r="AC26" s="56"/>
      <c r="AD26" s="57" t="s">
        <v>79</v>
      </c>
      <c r="AE26" s="51">
        <v>100</v>
      </c>
      <c r="AF26" s="51">
        <v>0</v>
      </c>
      <c r="AG26" s="51">
        <v>300</v>
      </c>
      <c r="AH26" s="51">
        <v>1000</v>
      </c>
      <c r="AI26" s="58">
        <v>12.5</v>
      </c>
      <c r="AJ26" s="62">
        <v>0.56999999999999995</v>
      </c>
      <c r="AK26" s="51">
        <v>2255</v>
      </c>
      <c r="AL26" s="61">
        <v>365</v>
      </c>
      <c r="AM26" s="57">
        <v>5</v>
      </c>
      <c r="AN26" s="57">
        <v>6</v>
      </c>
      <c r="AO26" s="57">
        <v>18</v>
      </c>
      <c r="AP26" s="57">
        <v>30</v>
      </c>
      <c r="AQ26" s="57">
        <v>38</v>
      </c>
      <c r="AR26" s="57">
        <v>50</v>
      </c>
      <c r="AS26" s="57">
        <v>50</v>
      </c>
      <c r="AT26" s="57">
        <v>42</v>
      </c>
      <c r="AU26" s="57">
        <v>24</v>
      </c>
    </row>
    <row r="27" spans="1:47" ht="15.75" customHeight="1" x14ac:dyDescent="0.2">
      <c r="L27" s="30" t="s">
        <v>103</v>
      </c>
      <c r="N27" s="25"/>
      <c r="O27" s="9"/>
      <c r="P27" s="9"/>
      <c r="Q27" s="9"/>
      <c r="R27" s="9"/>
      <c r="S27" s="9"/>
      <c r="T27" s="9"/>
      <c r="U27" s="9"/>
      <c r="V27" s="9"/>
      <c r="W27" s="9"/>
      <c r="X27" s="9"/>
      <c r="Y27" s="26"/>
      <c r="AA27" s="36" t="s">
        <v>113</v>
      </c>
      <c r="AB27" s="55"/>
      <c r="AC27" s="56"/>
      <c r="AD27" s="57" t="s">
        <v>79</v>
      </c>
      <c r="AE27" s="51">
        <v>125</v>
      </c>
      <c r="AF27" s="51">
        <v>0</v>
      </c>
      <c r="AG27" s="57">
        <v>315</v>
      </c>
      <c r="AH27" s="51">
        <v>1000</v>
      </c>
      <c r="AI27" s="58">
        <v>13.5</v>
      </c>
      <c r="AJ27" s="62">
        <v>0.36</v>
      </c>
      <c r="AK27" s="51">
        <v>2370</v>
      </c>
      <c r="AL27" s="61">
        <v>385</v>
      </c>
      <c r="AM27" s="57">
        <v>4</v>
      </c>
      <c r="AN27" s="57">
        <v>5</v>
      </c>
      <c r="AO27" s="57">
        <v>15</v>
      </c>
      <c r="AP27" s="57">
        <v>26</v>
      </c>
      <c r="AQ27" s="57">
        <v>34</v>
      </c>
      <c r="AR27" s="57">
        <v>47</v>
      </c>
      <c r="AS27" s="57">
        <v>48</v>
      </c>
      <c r="AT27" s="57">
        <v>31</v>
      </c>
      <c r="AU27" s="57">
        <v>22</v>
      </c>
    </row>
    <row r="28" spans="1:47" ht="15.75" customHeight="1" x14ac:dyDescent="0.2">
      <c r="A28" s="87" t="s">
        <v>17</v>
      </c>
      <c r="B28" s="87"/>
      <c r="C28" s="87"/>
      <c r="D28" s="87"/>
      <c r="E28" s="87"/>
      <c r="F28" s="87"/>
      <c r="G28" s="87"/>
      <c r="H28" s="87"/>
      <c r="I28" s="87"/>
      <c r="J28" s="87"/>
      <c r="K28" s="87"/>
      <c r="L28" s="87"/>
      <c r="N28" s="25"/>
      <c r="O28" s="9"/>
      <c r="P28" s="9"/>
      <c r="Q28" s="9"/>
      <c r="R28" s="9"/>
      <c r="S28" s="9"/>
      <c r="T28" s="9"/>
      <c r="U28" s="9"/>
      <c r="V28" s="9"/>
      <c r="W28" s="9"/>
      <c r="X28" s="9"/>
      <c r="Y28" s="26"/>
      <c r="AA28" s="36" t="s">
        <v>114</v>
      </c>
      <c r="AB28" s="55"/>
      <c r="AC28" s="56"/>
      <c r="AD28" s="57" t="s">
        <v>79</v>
      </c>
      <c r="AE28" s="51">
        <v>140</v>
      </c>
      <c r="AF28" s="51">
        <v>0</v>
      </c>
      <c r="AG28" s="51">
        <v>355</v>
      </c>
      <c r="AH28" s="51">
        <v>1000</v>
      </c>
      <c r="AI28" s="58">
        <v>16.100000000000001</v>
      </c>
      <c r="AJ28" s="62">
        <v>0.28999999999999998</v>
      </c>
      <c r="AK28" s="51">
        <v>2680</v>
      </c>
      <c r="AL28" s="61">
        <v>410</v>
      </c>
      <c r="AM28" s="57">
        <v>4</v>
      </c>
      <c r="AN28" s="57">
        <v>5</v>
      </c>
      <c r="AO28" s="57">
        <v>14</v>
      </c>
      <c r="AP28" s="57">
        <v>25</v>
      </c>
      <c r="AQ28" s="57">
        <v>33</v>
      </c>
      <c r="AR28" s="57">
        <v>46</v>
      </c>
      <c r="AS28" s="57">
        <v>46</v>
      </c>
      <c r="AT28" s="57">
        <v>29</v>
      </c>
      <c r="AU28" s="57">
        <v>20</v>
      </c>
    </row>
    <row r="29" spans="1:47" ht="15.75" customHeight="1" x14ac:dyDescent="0.2">
      <c r="A29" s="38" t="s">
        <v>5</v>
      </c>
      <c r="B29" s="3" t="s">
        <v>59</v>
      </c>
      <c r="C29" s="3">
        <v>31.5</v>
      </c>
      <c r="D29" s="3">
        <v>63</v>
      </c>
      <c r="E29" s="3">
        <v>125</v>
      </c>
      <c r="F29" s="3">
        <v>250</v>
      </c>
      <c r="G29" s="3">
        <v>500</v>
      </c>
      <c r="H29" s="3">
        <v>1000</v>
      </c>
      <c r="I29" s="3">
        <v>2000</v>
      </c>
      <c r="J29" s="3">
        <v>4000</v>
      </c>
      <c r="K29" s="3">
        <v>8000</v>
      </c>
      <c r="L29" s="3" t="s">
        <v>44</v>
      </c>
      <c r="N29" s="25"/>
      <c r="O29" s="9"/>
      <c r="P29" s="9"/>
      <c r="Q29" s="9"/>
      <c r="R29" s="9"/>
      <c r="S29" s="9"/>
      <c r="T29" s="9"/>
      <c r="U29" s="9"/>
      <c r="V29" s="9"/>
      <c r="W29" s="9"/>
      <c r="X29" s="9"/>
      <c r="Y29" s="26"/>
      <c r="AA29" s="36" t="s">
        <v>115</v>
      </c>
      <c r="AB29" s="55"/>
      <c r="AC29" s="56"/>
      <c r="AD29" s="57" t="s">
        <v>79</v>
      </c>
      <c r="AE29" s="51">
        <v>150</v>
      </c>
      <c r="AF29" s="51">
        <v>0</v>
      </c>
      <c r="AG29" s="57">
        <v>355</v>
      </c>
      <c r="AH29" s="51">
        <v>1000</v>
      </c>
      <c r="AI29" s="58">
        <v>16.3</v>
      </c>
      <c r="AJ29" s="62">
        <v>0.26</v>
      </c>
      <c r="AK29" s="51">
        <v>2845</v>
      </c>
      <c r="AL29" s="61">
        <v>435</v>
      </c>
      <c r="AM29" s="57">
        <v>4</v>
      </c>
      <c r="AN29" s="57">
        <v>5</v>
      </c>
      <c r="AO29" s="57">
        <v>13</v>
      </c>
      <c r="AP29" s="57">
        <v>24</v>
      </c>
      <c r="AQ29" s="57">
        <v>32</v>
      </c>
      <c r="AR29" s="57">
        <v>45</v>
      </c>
      <c r="AS29" s="57">
        <v>44</v>
      </c>
      <c r="AT29" s="57">
        <v>27</v>
      </c>
      <c r="AU29" s="57">
        <v>18</v>
      </c>
    </row>
    <row r="30" spans="1:47" ht="15.75" customHeight="1" x14ac:dyDescent="0.2">
      <c r="A30" s="38" t="s">
        <v>61</v>
      </c>
      <c r="B30" s="3" t="s">
        <v>57</v>
      </c>
      <c r="C30" s="20">
        <f>IF($L$26=0,"",AC13)</f>
        <v>66.244377092545449</v>
      </c>
      <c r="D30" s="20">
        <f t="shared" ref="D30:K30" si="13">IF($L$26=0,"",AD13)</f>
        <v>60.240984992852475</v>
      </c>
      <c r="E30" s="20">
        <f t="shared" si="13"/>
        <v>54.35557992867988</v>
      </c>
      <c r="F30" s="20">
        <f t="shared" si="13"/>
        <v>48.579824583251018</v>
      </c>
      <c r="G30" s="20">
        <f t="shared" si="13"/>
        <v>43.298978510596278</v>
      </c>
      <c r="H30" s="20">
        <f t="shared" si="13"/>
        <v>38.64233985432822</v>
      </c>
      <c r="I30" s="20">
        <f t="shared" si="13"/>
        <v>33.802856645184875</v>
      </c>
      <c r="J30" s="20">
        <f t="shared" si="13"/>
        <v>28.296544632108642</v>
      </c>
      <c r="K30" s="20">
        <f t="shared" si="13"/>
        <v>22.430113413424593</v>
      </c>
      <c r="L30" s="18">
        <f>IF($L$26=0,"",AL14)</f>
        <v>46.165956741085346</v>
      </c>
      <c r="N30" s="25"/>
      <c r="O30" s="9"/>
      <c r="P30" s="9"/>
      <c r="Q30" s="9"/>
      <c r="R30" s="9"/>
      <c r="S30" s="9"/>
      <c r="T30" s="9"/>
      <c r="U30" s="9"/>
      <c r="V30" s="9"/>
      <c r="W30" s="9"/>
      <c r="X30" s="9"/>
      <c r="Y30" s="26"/>
      <c r="AA30" s="36" t="s">
        <v>116</v>
      </c>
      <c r="AB30" s="55"/>
      <c r="AC30" s="56"/>
      <c r="AD30" s="57" t="s">
        <v>79</v>
      </c>
      <c r="AE30" s="51">
        <v>160</v>
      </c>
      <c r="AF30" s="51">
        <v>0</v>
      </c>
      <c r="AG30" s="51">
        <v>355</v>
      </c>
      <c r="AH30" s="51">
        <v>1000</v>
      </c>
      <c r="AI30" s="58">
        <v>16.5</v>
      </c>
      <c r="AJ30" s="62">
        <v>0.23</v>
      </c>
      <c r="AK30" s="51">
        <v>2980</v>
      </c>
      <c r="AL30" s="61">
        <v>445</v>
      </c>
      <c r="AM30" s="57">
        <v>4</v>
      </c>
      <c r="AN30" s="57">
        <v>5</v>
      </c>
      <c r="AO30" s="57">
        <v>11</v>
      </c>
      <c r="AP30" s="57">
        <v>23</v>
      </c>
      <c r="AQ30" s="57">
        <v>31</v>
      </c>
      <c r="AR30" s="57">
        <v>44</v>
      </c>
      <c r="AS30" s="57">
        <v>42</v>
      </c>
      <c r="AT30" s="57">
        <v>26</v>
      </c>
      <c r="AU30" s="57">
        <v>15</v>
      </c>
    </row>
    <row r="31" spans="1:47" ht="15.75" customHeight="1" x14ac:dyDescent="0.2">
      <c r="A31" s="31"/>
      <c r="B31" s="9"/>
      <c r="C31" s="31"/>
      <c r="D31" s="31"/>
      <c r="E31" s="31"/>
      <c r="F31" s="31"/>
      <c r="G31" s="31"/>
      <c r="H31" s="31"/>
      <c r="I31" s="31"/>
      <c r="J31" s="31"/>
      <c r="L31" s="30" t="s">
        <v>106</v>
      </c>
      <c r="N31" s="25"/>
      <c r="O31" s="9"/>
      <c r="P31" s="9"/>
      <c r="Q31" s="9"/>
      <c r="R31" s="9"/>
      <c r="S31" s="9"/>
      <c r="T31" s="9"/>
      <c r="U31" s="9"/>
      <c r="V31" s="9"/>
      <c r="W31" s="9"/>
      <c r="X31" s="9"/>
      <c r="Y31" s="26"/>
      <c r="AA31" s="36" t="s">
        <v>117</v>
      </c>
      <c r="AB31" s="55"/>
      <c r="AC31" s="56"/>
      <c r="AD31" s="57" t="s">
        <v>79</v>
      </c>
      <c r="AE31" s="51">
        <v>180</v>
      </c>
      <c r="AF31" s="51">
        <v>0</v>
      </c>
      <c r="AG31" s="57">
        <v>400</v>
      </c>
      <c r="AH31" s="51">
        <v>1000</v>
      </c>
      <c r="AI31" s="58">
        <v>18.5</v>
      </c>
      <c r="AJ31" s="62">
        <v>0.21</v>
      </c>
      <c r="AK31" s="51">
        <v>3260</v>
      </c>
      <c r="AL31" s="61">
        <v>465</v>
      </c>
      <c r="AM31" s="57">
        <v>3</v>
      </c>
      <c r="AN31" s="57">
        <v>4</v>
      </c>
      <c r="AO31" s="57">
        <v>9</v>
      </c>
      <c r="AP31" s="57">
        <v>21</v>
      </c>
      <c r="AQ31" s="57">
        <v>29</v>
      </c>
      <c r="AR31" s="57">
        <v>42</v>
      </c>
      <c r="AS31" s="57">
        <v>38</v>
      </c>
      <c r="AT31" s="57">
        <v>23</v>
      </c>
      <c r="AU31" s="57">
        <v>14</v>
      </c>
    </row>
    <row r="32" spans="1:47" ht="15.75" customHeight="1" x14ac:dyDescent="0.2">
      <c r="A32" s="87" t="s">
        <v>93</v>
      </c>
      <c r="B32" s="87"/>
      <c r="C32" s="87"/>
      <c r="D32" s="87"/>
      <c r="E32" s="87"/>
      <c r="F32" s="87"/>
      <c r="G32" s="87"/>
      <c r="H32" s="87"/>
      <c r="I32" s="87"/>
      <c r="J32" s="87"/>
      <c r="K32" s="87"/>
      <c r="L32" s="87"/>
      <c r="N32" s="25"/>
      <c r="O32" s="9"/>
      <c r="P32" s="9"/>
      <c r="Q32" s="9"/>
      <c r="R32" s="9"/>
      <c r="S32" s="9"/>
      <c r="T32" s="9"/>
      <c r="U32" s="9"/>
      <c r="V32" s="9"/>
      <c r="W32" s="9"/>
      <c r="X32" s="9"/>
      <c r="Y32" s="26"/>
      <c r="AA32" s="36" t="s">
        <v>118</v>
      </c>
      <c r="AB32" s="55"/>
      <c r="AC32" s="56"/>
      <c r="AD32" s="57" t="s">
        <v>79</v>
      </c>
      <c r="AE32" s="51">
        <v>200</v>
      </c>
      <c r="AF32" s="51">
        <v>0</v>
      </c>
      <c r="AG32" s="51">
        <v>400</v>
      </c>
      <c r="AH32" s="51">
        <v>1000</v>
      </c>
      <c r="AI32" s="58">
        <v>18.8</v>
      </c>
      <c r="AJ32" s="62">
        <v>0.18</v>
      </c>
      <c r="AK32" s="51">
        <v>3495</v>
      </c>
      <c r="AL32" s="61">
        <v>485</v>
      </c>
      <c r="AM32" s="57">
        <v>3</v>
      </c>
      <c r="AN32" s="57">
        <v>4</v>
      </c>
      <c r="AO32" s="57">
        <v>8</v>
      </c>
      <c r="AP32" s="57">
        <v>18</v>
      </c>
      <c r="AQ32" s="57">
        <v>27</v>
      </c>
      <c r="AR32" s="57">
        <v>40</v>
      </c>
      <c r="AS32" s="57">
        <v>34</v>
      </c>
      <c r="AT32" s="57">
        <v>20</v>
      </c>
      <c r="AU32" s="57">
        <v>13</v>
      </c>
    </row>
    <row r="33" spans="1:47" ht="15.75" customHeight="1" x14ac:dyDescent="0.2">
      <c r="A33" s="38" t="s">
        <v>5</v>
      </c>
      <c r="B33" s="3" t="s">
        <v>59</v>
      </c>
      <c r="C33" s="3">
        <v>31.5</v>
      </c>
      <c r="D33" s="3">
        <v>63</v>
      </c>
      <c r="E33" s="3">
        <v>125</v>
      </c>
      <c r="F33" s="3">
        <v>250</v>
      </c>
      <c r="G33" s="3">
        <v>500</v>
      </c>
      <c r="H33" s="3">
        <v>1000</v>
      </c>
      <c r="I33" s="3">
        <v>2000</v>
      </c>
      <c r="J33" s="3">
        <v>4000</v>
      </c>
      <c r="K33" s="3">
        <v>8000</v>
      </c>
      <c r="L33" s="3" t="s">
        <v>33</v>
      </c>
      <c r="N33" s="25"/>
      <c r="O33" s="9"/>
      <c r="P33" s="9"/>
      <c r="Q33" s="9"/>
      <c r="R33" s="9"/>
      <c r="S33" s="9"/>
      <c r="T33" s="9"/>
      <c r="U33" s="9"/>
      <c r="V33" s="9"/>
      <c r="W33" s="9"/>
      <c r="X33" s="9"/>
      <c r="Y33" s="26"/>
      <c r="AA33" s="36" t="s">
        <v>119</v>
      </c>
      <c r="AB33" s="55"/>
      <c r="AC33" s="56"/>
      <c r="AD33" s="57" t="s">
        <v>79</v>
      </c>
      <c r="AE33" s="51">
        <v>224</v>
      </c>
      <c r="AF33" s="51">
        <v>0</v>
      </c>
      <c r="AG33" s="57">
        <v>400</v>
      </c>
      <c r="AH33" s="51">
        <v>1000</v>
      </c>
      <c r="AI33" s="58">
        <v>18.899999999999999</v>
      </c>
      <c r="AJ33" s="62">
        <v>0.15</v>
      </c>
      <c r="AK33" s="51">
        <v>3845</v>
      </c>
      <c r="AL33" s="61">
        <v>500</v>
      </c>
      <c r="AM33" s="57">
        <v>3</v>
      </c>
      <c r="AN33" s="57">
        <v>4</v>
      </c>
      <c r="AO33" s="57">
        <v>8</v>
      </c>
      <c r="AP33" s="57">
        <v>17</v>
      </c>
      <c r="AQ33" s="57">
        <v>26</v>
      </c>
      <c r="AR33" s="57">
        <v>36</v>
      </c>
      <c r="AS33" s="57">
        <v>29</v>
      </c>
      <c r="AT33" s="57">
        <v>17</v>
      </c>
      <c r="AU33" s="57">
        <v>12</v>
      </c>
    </row>
    <row r="34" spans="1:47" ht="15.75" customHeight="1" x14ac:dyDescent="0.2">
      <c r="A34" s="38" t="s">
        <v>25</v>
      </c>
      <c r="B34" s="3" t="s">
        <v>57</v>
      </c>
      <c r="C34" s="20">
        <f>AC12</f>
        <v>4</v>
      </c>
      <c r="D34" s="20">
        <f t="shared" ref="D34:K34" si="14">AD12</f>
        <v>5</v>
      </c>
      <c r="E34" s="20">
        <f t="shared" si="14"/>
        <v>14</v>
      </c>
      <c r="F34" s="20">
        <f t="shared" si="14"/>
        <v>27</v>
      </c>
      <c r="G34" s="20">
        <f t="shared" si="14"/>
        <v>46</v>
      </c>
      <c r="H34" s="20">
        <f t="shared" si="14"/>
        <v>50</v>
      </c>
      <c r="I34" s="20">
        <f t="shared" si="14"/>
        <v>35</v>
      </c>
      <c r="J34" s="20">
        <f t="shared" si="14"/>
        <v>19</v>
      </c>
      <c r="K34" s="20">
        <f t="shared" si="14"/>
        <v>15</v>
      </c>
      <c r="L34" s="3" t="s">
        <v>58</v>
      </c>
      <c r="N34" s="25"/>
      <c r="O34" s="9"/>
      <c r="P34" s="9"/>
      <c r="Q34" s="9"/>
      <c r="R34" s="9"/>
      <c r="S34" s="9"/>
      <c r="T34" s="9"/>
      <c r="U34" s="9"/>
      <c r="V34" s="9"/>
      <c r="W34" s="9"/>
      <c r="X34" s="9"/>
      <c r="Y34" s="26"/>
      <c r="AA34" s="36" t="s">
        <v>120</v>
      </c>
      <c r="AB34" s="55"/>
      <c r="AC34" s="56"/>
      <c r="AD34" s="57" t="s">
        <v>79</v>
      </c>
      <c r="AE34" s="51">
        <v>250</v>
      </c>
      <c r="AF34" s="51">
        <v>0</v>
      </c>
      <c r="AG34" s="51">
        <v>450</v>
      </c>
      <c r="AH34" s="51">
        <v>1000</v>
      </c>
      <c r="AI34" s="58">
        <v>21.5</v>
      </c>
      <c r="AJ34" s="62">
        <v>0.12</v>
      </c>
      <c r="AK34" s="51">
        <v>4165</v>
      </c>
      <c r="AL34" s="61">
        <v>625</v>
      </c>
      <c r="AM34" s="57">
        <v>2</v>
      </c>
      <c r="AN34" s="57">
        <v>3</v>
      </c>
      <c r="AO34" s="57">
        <v>8</v>
      </c>
      <c r="AP34" s="57">
        <v>16</v>
      </c>
      <c r="AQ34" s="57">
        <v>25</v>
      </c>
      <c r="AR34" s="57">
        <v>33</v>
      </c>
      <c r="AS34" s="57">
        <v>25</v>
      </c>
      <c r="AT34" s="57">
        <v>15</v>
      </c>
      <c r="AU34" s="57">
        <v>11</v>
      </c>
    </row>
    <row r="35" spans="1:47" ht="15.75" customHeight="1" x14ac:dyDescent="0.2">
      <c r="A35" s="38" t="s">
        <v>32</v>
      </c>
      <c r="B35" s="3" t="s">
        <v>57</v>
      </c>
      <c r="C35" s="32">
        <f>IF(C34="","",7)</f>
        <v>7</v>
      </c>
      <c r="D35" s="32">
        <f>IF(D34="","",6)</f>
        <v>6</v>
      </c>
      <c r="E35" s="32">
        <f>IF(E34="","",4)</f>
        <v>4</v>
      </c>
      <c r="F35" s="32">
        <f t="shared" ref="F35:J35" si="15">IF(F34="","",4)</f>
        <v>4</v>
      </c>
      <c r="G35" s="32">
        <f t="shared" si="15"/>
        <v>4</v>
      </c>
      <c r="H35" s="32">
        <f t="shared" si="15"/>
        <v>4</v>
      </c>
      <c r="I35" s="32">
        <f t="shared" si="15"/>
        <v>4</v>
      </c>
      <c r="J35" s="32">
        <f t="shared" si="15"/>
        <v>4</v>
      </c>
      <c r="K35" s="32">
        <f>IF(K34="","",7)</f>
        <v>7</v>
      </c>
      <c r="L35" s="18">
        <f>IF(L26=0,"",AI22+2*B16*PI()*(B13+80)*80*1*7850/1000000000)</f>
        <v>39.1</v>
      </c>
      <c r="N35" s="25"/>
      <c r="O35" s="9"/>
      <c r="P35" s="9"/>
      <c r="Q35" s="9"/>
      <c r="R35" s="9"/>
      <c r="S35" s="9"/>
      <c r="T35" s="9"/>
      <c r="U35" s="9"/>
      <c r="V35" s="9"/>
      <c r="W35" s="9"/>
      <c r="X35" s="9"/>
      <c r="Y35" s="26"/>
      <c r="AA35" s="36" t="s">
        <v>83</v>
      </c>
      <c r="AB35" s="55"/>
      <c r="AC35" s="56"/>
      <c r="AD35" s="57" t="s">
        <v>79</v>
      </c>
      <c r="AE35" s="51">
        <v>280</v>
      </c>
      <c r="AF35" s="51">
        <v>0</v>
      </c>
      <c r="AG35" s="51">
        <v>500</v>
      </c>
      <c r="AH35" s="51">
        <v>1000</v>
      </c>
      <c r="AI35" s="58">
        <v>26.1</v>
      </c>
      <c r="AJ35" s="62">
        <v>0.11</v>
      </c>
      <c r="AK35" s="51">
        <v>4545</v>
      </c>
      <c r="AL35" s="61">
        <v>640</v>
      </c>
      <c r="AM35" s="57">
        <v>2</v>
      </c>
      <c r="AN35" s="57">
        <v>3</v>
      </c>
      <c r="AO35" s="57">
        <v>7</v>
      </c>
      <c r="AP35" s="57">
        <v>15</v>
      </c>
      <c r="AQ35" s="57">
        <v>25</v>
      </c>
      <c r="AR35" s="57">
        <v>31</v>
      </c>
      <c r="AS35" s="57">
        <v>23</v>
      </c>
      <c r="AT35" s="57">
        <v>15</v>
      </c>
      <c r="AU35" s="57">
        <v>10</v>
      </c>
    </row>
    <row r="36" spans="1:47" ht="15.75" customHeight="1" x14ac:dyDescent="0.2">
      <c r="L36" s="30"/>
      <c r="N36" s="25"/>
      <c r="O36" s="9"/>
      <c r="P36" s="9"/>
      <c r="Q36" s="9"/>
      <c r="R36" s="9"/>
      <c r="S36" s="9"/>
      <c r="T36" s="9"/>
      <c r="U36" s="9"/>
      <c r="V36" s="9"/>
      <c r="W36" s="9"/>
      <c r="X36" s="9"/>
      <c r="Y36" s="26"/>
      <c r="AA36" s="36" t="s">
        <v>121</v>
      </c>
      <c r="AB36" s="55"/>
      <c r="AC36" s="56"/>
      <c r="AD36" s="57" t="s">
        <v>79</v>
      </c>
      <c r="AE36" s="51">
        <v>300</v>
      </c>
      <c r="AF36" s="51">
        <v>0</v>
      </c>
      <c r="AG36" s="51">
        <v>500</v>
      </c>
      <c r="AH36" s="51">
        <v>1000</v>
      </c>
      <c r="AI36" s="58">
        <v>24.5</v>
      </c>
      <c r="AJ36" s="62">
        <v>0.1</v>
      </c>
      <c r="AK36" s="51">
        <v>4770</v>
      </c>
      <c r="AL36" s="61">
        <v>675</v>
      </c>
      <c r="AM36" s="57">
        <v>2</v>
      </c>
      <c r="AN36" s="57">
        <v>3</v>
      </c>
      <c r="AO36" s="57">
        <v>7</v>
      </c>
      <c r="AP36" s="57">
        <v>14</v>
      </c>
      <c r="AQ36" s="57">
        <v>24</v>
      </c>
      <c r="AR36" s="57">
        <v>30</v>
      </c>
      <c r="AS36" s="57">
        <v>22</v>
      </c>
      <c r="AT36" s="57">
        <v>14</v>
      </c>
      <c r="AU36" s="57">
        <v>9</v>
      </c>
    </row>
    <row r="37" spans="1:47" ht="15.75" customHeight="1" x14ac:dyDescent="0.2">
      <c r="A37" s="87" t="s">
        <v>31</v>
      </c>
      <c r="B37" s="87"/>
      <c r="C37" s="87"/>
      <c r="D37" s="87"/>
      <c r="E37" s="87"/>
      <c r="F37" s="87"/>
      <c r="G37" s="87"/>
      <c r="H37" s="87"/>
      <c r="I37" s="87"/>
      <c r="J37" s="87"/>
      <c r="K37" s="87"/>
      <c r="L37" s="87"/>
      <c r="N37" s="25"/>
      <c r="O37" s="9"/>
      <c r="P37" s="9"/>
      <c r="Q37" s="9"/>
      <c r="R37" s="9"/>
      <c r="S37" s="9"/>
      <c r="T37" s="9"/>
      <c r="U37" s="9"/>
      <c r="V37" s="9"/>
      <c r="W37" s="9"/>
      <c r="X37" s="9"/>
      <c r="Y37" s="26"/>
      <c r="AA37" s="36" t="s">
        <v>122</v>
      </c>
      <c r="AB37" s="55"/>
      <c r="AC37" s="56"/>
      <c r="AD37" s="57" t="s">
        <v>79</v>
      </c>
      <c r="AE37" s="51">
        <v>315</v>
      </c>
      <c r="AF37" s="51">
        <v>0</v>
      </c>
      <c r="AG37" s="51">
        <v>500</v>
      </c>
      <c r="AH37" s="51">
        <v>1000</v>
      </c>
      <c r="AI37" s="58">
        <v>24.8</v>
      </c>
      <c r="AJ37" s="62">
        <v>0.09</v>
      </c>
      <c r="AK37" s="51">
        <v>4905</v>
      </c>
      <c r="AL37" s="61">
        <v>700</v>
      </c>
      <c r="AM37" s="57">
        <v>2</v>
      </c>
      <c r="AN37" s="57">
        <v>3</v>
      </c>
      <c r="AO37" s="57">
        <v>6</v>
      </c>
      <c r="AP37" s="57">
        <v>12</v>
      </c>
      <c r="AQ37" s="57">
        <v>23</v>
      </c>
      <c r="AR37" s="57">
        <v>29</v>
      </c>
      <c r="AS37" s="57">
        <v>20</v>
      </c>
      <c r="AT37" s="57">
        <v>14</v>
      </c>
      <c r="AU37" s="57">
        <v>9</v>
      </c>
    </row>
    <row r="38" spans="1:47" ht="15.75" customHeight="1" x14ac:dyDescent="0.2">
      <c r="A38" s="102" t="s">
        <v>50</v>
      </c>
      <c r="B38" s="103"/>
      <c r="C38" s="104"/>
      <c r="D38" s="100" t="str">
        <f>IF($L$26=0,"",CONCATENATE(AD22,".",B16))</f>
        <v>GD 250-2000.0</v>
      </c>
      <c r="E38" s="100"/>
      <c r="F38" s="100"/>
      <c r="G38" s="101" t="s">
        <v>95</v>
      </c>
      <c r="H38" s="101"/>
      <c r="I38" s="101"/>
      <c r="J38" s="106">
        <f>IF($L$26=0,"",L35)</f>
        <v>39.1</v>
      </c>
      <c r="K38" s="106"/>
      <c r="L38" s="106"/>
      <c r="N38" s="25"/>
      <c r="O38" s="9"/>
      <c r="P38" s="9"/>
      <c r="Q38" s="9"/>
      <c r="R38" s="9"/>
      <c r="S38" s="9"/>
      <c r="T38" s="9"/>
      <c r="U38" s="9"/>
      <c r="V38" s="9"/>
      <c r="W38" s="9"/>
      <c r="X38" s="9"/>
      <c r="Y38" s="26"/>
      <c r="AA38" s="36" t="s">
        <v>123</v>
      </c>
      <c r="AB38" s="55"/>
      <c r="AC38" s="56"/>
      <c r="AD38" s="57" t="s">
        <v>79</v>
      </c>
      <c r="AE38" s="51">
        <v>355</v>
      </c>
      <c r="AF38" s="51">
        <v>0</v>
      </c>
      <c r="AG38" s="51">
        <v>560</v>
      </c>
      <c r="AH38" s="51">
        <v>1000</v>
      </c>
      <c r="AI38" s="58">
        <v>28.5</v>
      </c>
      <c r="AJ38" s="62">
        <v>0.08</v>
      </c>
      <c r="AK38" s="51">
        <v>5675</v>
      </c>
      <c r="AL38" s="61">
        <v>900</v>
      </c>
      <c r="AM38" s="57">
        <v>1</v>
      </c>
      <c r="AN38" s="57">
        <v>2</v>
      </c>
      <c r="AO38" s="57">
        <v>6</v>
      </c>
      <c r="AP38" s="57">
        <v>12</v>
      </c>
      <c r="AQ38" s="57">
        <v>23</v>
      </c>
      <c r="AR38" s="57">
        <v>26</v>
      </c>
      <c r="AS38" s="57">
        <v>18</v>
      </c>
      <c r="AT38" s="57">
        <v>13</v>
      </c>
      <c r="AU38" s="57">
        <v>8</v>
      </c>
    </row>
    <row r="39" spans="1:47" ht="15.75" customHeight="1" x14ac:dyDescent="0.2">
      <c r="A39" s="101" t="s">
        <v>94</v>
      </c>
      <c r="B39" s="101"/>
      <c r="C39" s="101"/>
      <c r="D39" s="99">
        <f>IF(L26=0,"",AB22)</f>
        <v>250</v>
      </c>
      <c r="E39" s="99"/>
      <c r="F39" s="99"/>
      <c r="G39" s="101" t="s">
        <v>92</v>
      </c>
      <c r="H39" s="101"/>
      <c r="I39" s="101"/>
      <c r="J39" s="99">
        <f>IF($L$26=0,"",AC22)</f>
        <v>2000</v>
      </c>
      <c r="K39" s="99"/>
      <c r="L39" s="99"/>
      <c r="N39" s="25"/>
      <c r="O39" s="9"/>
      <c r="P39" s="9"/>
      <c r="Q39" s="9"/>
      <c r="R39" s="9"/>
      <c r="S39" s="9"/>
      <c r="T39" s="9"/>
      <c r="U39" s="9"/>
      <c r="V39" s="9"/>
      <c r="W39" s="9"/>
      <c r="X39" s="9"/>
      <c r="Y39" s="26"/>
      <c r="AA39" s="36" t="s">
        <v>124</v>
      </c>
      <c r="AB39" s="55"/>
      <c r="AC39" s="56"/>
      <c r="AD39" s="57" t="s">
        <v>79</v>
      </c>
      <c r="AE39" s="51">
        <v>400</v>
      </c>
      <c r="AF39" s="51">
        <v>0</v>
      </c>
      <c r="AG39" s="51">
        <v>600</v>
      </c>
      <c r="AH39" s="51">
        <v>1000</v>
      </c>
      <c r="AI39" s="58">
        <v>30.5</v>
      </c>
      <c r="AJ39" s="62">
        <v>0.06</v>
      </c>
      <c r="AK39" s="51">
        <v>6195</v>
      </c>
      <c r="AL39" s="61">
        <v>1100</v>
      </c>
      <c r="AM39" s="57">
        <v>1</v>
      </c>
      <c r="AN39" s="57">
        <v>2</v>
      </c>
      <c r="AO39" s="57">
        <v>5</v>
      </c>
      <c r="AP39" s="57">
        <v>11</v>
      </c>
      <c r="AQ39" s="57">
        <v>23</v>
      </c>
      <c r="AR39" s="57">
        <v>25</v>
      </c>
      <c r="AS39" s="57">
        <v>16</v>
      </c>
      <c r="AT39" s="57">
        <v>12</v>
      </c>
      <c r="AU39" s="57">
        <v>7</v>
      </c>
    </row>
    <row r="40" spans="1:47" ht="15.75" customHeight="1" x14ac:dyDescent="0.2">
      <c r="A40" s="101" t="s">
        <v>98</v>
      </c>
      <c r="B40" s="101"/>
      <c r="C40" s="101"/>
      <c r="D40" s="99">
        <f>IF($L$26=0,"",AH22)</f>
        <v>450</v>
      </c>
      <c r="E40" s="99"/>
      <c r="F40" s="99"/>
      <c r="G40" s="101" t="s">
        <v>100</v>
      </c>
      <c r="H40" s="101"/>
      <c r="I40" s="101"/>
      <c r="J40" s="99">
        <f>IF($L$26=0,"",J39+200)</f>
        <v>2200</v>
      </c>
      <c r="K40" s="99"/>
      <c r="L40" s="99"/>
      <c r="N40" s="25"/>
      <c r="O40" s="9"/>
      <c r="P40" s="9"/>
      <c r="Q40" s="9"/>
      <c r="R40" s="9"/>
      <c r="S40" s="9"/>
      <c r="T40" s="9"/>
      <c r="U40" s="9"/>
      <c r="V40" s="9"/>
      <c r="W40" s="9"/>
      <c r="X40" s="9"/>
      <c r="Y40" s="26"/>
      <c r="AA40" s="36" t="s">
        <v>125</v>
      </c>
      <c r="AB40" s="55"/>
      <c r="AC40" s="56"/>
      <c r="AD40" s="57" t="s">
        <v>79</v>
      </c>
      <c r="AE40" s="51">
        <v>450</v>
      </c>
      <c r="AF40" s="51">
        <v>0</v>
      </c>
      <c r="AG40" s="51">
        <v>630</v>
      </c>
      <c r="AH40" s="51">
        <v>1000</v>
      </c>
      <c r="AI40" s="58">
        <v>32.1</v>
      </c>
      <c r="AJ40" s="62">
        <v>0.05</v>
      </c>
      <c r="AK40" s="51">
        <v>7930</v>
      </c>
      <c r="AL40" s="61">
        <v>1360</v>
      </c>
      <c r="AM40" s="57">
        <v>1</v>
      </c>
      <c r="AN40" s="57">
        <v>2</v>
      </c>
      <c r="AO40" s="57">
        <v>5</v>
      </c>
      <c r="AP40" s="57">
        <v>11</v>
      </c>
      <c r="AQ40" s="57">
        <v>21</v>
      </c>
      <c r="AR40" s="57">
        <v>23</v>
      </c>
      <c r="AS40" s="57">
        <v>15</v>
      </c>
      <c r="AT40" s="57">
        <v>10</v>
      </c>
      <c r="AU40" s="57">
        <v>6</v>
      </c>
    </row>
    <row r="41" spans="1:47" ht="15.75" customHeight="1" x14ac:dyDescent="0.2">
      <c r="A41" s="101" t="s">
        <v>91</v>
      </c>
      <c r="B41" s="101"/>
      <c r="C41" s="101"/>
      <c r="D41" s="101"/>
      <c r="E41" s="101"/>
      <c r="F41" s="101"/>
      <c r="G41" s="101"/>
      <c r="H41" s="101"/>
      <c r="I41" s="101"/>
      <c r="J41" s="105">
        <f>IF($L$26=0,"",AK22+AL22*(2*B16))</f>
        <v>6465</v>
      </c>
      <c r="K41" s="105"/>
      <c r="L41" s="105"/>
      <c r="N41" s="27"/>
      <c r="O41" s="28"/>
      <c r="P41" s="28"/>
      <c r="Q41" s="28"/>
      <c r="R41" s="28"/>
      <c r="S41" s="28"/>
      <c r="T41" s="28"/>
      <c r="U41" s="28"/>
      <c r="V41" s="28"/>
      <c r="W41" s="28"/>
      <c r="X41" s="28"/>
      <c r="Y41" s="29"/>
      <c r="AA41" s="36" t="s">
        <v>126</v>
      </c>
      <c r="AB41" s="55"/>
      <c r="AC41" s="56"/>
      <c r="AD41" s="57" t="s">
        <v>79</v>
      </c>
      <c r="AE41" s="51">
        <v>500</v>
      </c>
      <c r="AF41" s="51">
        <v>0</v>
      </c>
      <c r="AG41" s="51">
        <v>710</v>
      </c>
      <c r="AH41" s="51">
        <v>1000</v>
      </c>
      <c r="AI41" s="58">
        <v>37.5</v>
      </c>
      <c r="AJ41" s="62">
        <v>0.04</v>
      </c>
      <c r="AK41" s="51">
        <v>9405</v>
      </c>
      <c r="AL41" s="61">
        <v>1505</v>
      </c>
      <c r="AM41" s="57">
        <v>1</v>
      </c>
      <c r="AN41" s="57">
        <v>2</v>
      </c>
      <c r="AO41" s="57">
        <v>4</v>
      </c>
      <c r="AP41" s="57">
        <v>10</v>
      </c>
      <c r="AQ41" s="57">
        <v>20</v>
      </c>
      <c r="AR41" s="57">
        <v>22</v>
      </c>
      <c r="AS41" s="57">
        <v>14</v>
      </c>
      <c r="AT41" s="57">
        <v>8</v>
      </c>
      <c r="AU41" s="57">
        <v>5</v>
      </c>
    </row>
    <row r="42" spans="1:47" ht="15.75" customHeight="1" x14ac:dyDescent="0.2">
      <c r="AA42" s="36" t="s">
        <v>127</v>
      </c>
      <c r="AB42" s="55"/>
      <c r="AC42" s="56"/>
      <c r="AD42" s="57" t="s">
        <v>79</v>
      </c>
      <c r="AE42" s="51">
        <v>560</v>
      </c>
      <c r="AF42" s="51">
        <v>0</v>
      </c>
      <c r="AG42" s="51">
        <v>800</v>
      </c>
      <c r="AH42" s="51">
        <v>1000</v>
      </c>
      <c r="AI42" s="58">
        <v>44.1</v>
      </c>
      <c r="AJ42" s="62">
        <v>0.04</v>
      </c>
      <c r="AK42" s="51">
        <v>11305</v>
      </c>
      <c r="AL42" s="61">
        <v>1580</v>
      </c>
      <c r="AM42" s="57">
        <v>1</v>
      </c>
      <c r="AN42" s="57">
        <v>2</v>
      </c>
      <c r="AO42" s="57">
        <v>4</v>
      </c>
      <c r="AP42" s="57">
        <v>10</v>
      </c>
      <c r="AQ42" s="57">
        <v>18</v>
      </c>
      <c r="AR42" s="57">
        <v>20</v>
      </c>
      <c r="AS42" s="57">
        <v>14</v>
      </c>
      <c r="AT42" s="57">
        <v>8</v>
      </c>
      <c r="AU42" s="57">
        <v>4</v>
      </c>
    </row>
    <row r="43" spans="1:47" ht="15.75" customHeight="1" x14ac:dyDescent="0.2">
      <c r="AA43" s="36" t="s">
        <v>128</v>
      </c>
      <c r="AB43" s="55"/>
      <c r="AC43" s="56"/>
      <c r="AD43" s="57" t="s">
        <v>79</v>
      </c>
      <c r="AE43" s="51">
        <v>600</v>
      </c>
      <c r="AF43" s="51">
        <v>0</v>
      </c>
      <c r="AG43" s="51">
        <v>800</v>
      </c>
      <c r="AH43" s="51">
        <v>1000</v>
      </c>
      <c r="AI43" s="58">
        <v>43.2</v>
      </c>
      <c r="AJ43" s="62">
        <v>0.04</v>
      </c>
      <c r="AK43" s="51">
        <v>12035</v>
      </c>
      <c r="AL43" s="61">
        <v>1625</v>
      </c>
      <c r="AM43" s="57">
        <v>0</v>
      </c>
      <c r="AN43" s="57">
        <v>1</v>
      </c>
      <c r="AO43" s="57">
        <v>3</v>
      </c>
      <c r="AP43" s="57">
        <v>9</v>
      </c>
      <c r="AQ43" s="57">
        <v>17</v>
      </c>
      <c r="AR43" s="57">
        <v>17</v>
      </c>
      <c r="AS43" s="57">
        <v>13</v>
      </c>
      <c r="AT43" s="57">
        <v>7</v>
      </c>
      <c r="AU43" s="57">
        <v>3</v>
      </c>
    </row>
    <row r="44" spans="1:47" ht="15.75" customHeight="1" x14ac:dyDescent="0.2">
      <c r="A44" s="63"/>
      <c r="AA44" s="36" t="s">
        <v>129</v>
      </c>
      <c r="AB44" s="55"/>
      <c r="AC44" s="56"/>
      <c r="AD44" s="57" t="s">
        <v>79</v>
      </c>
      <c r="AE44" s="51">
        <v>630</v>
      </c>
      <c r="AF44" s="51">
        <v>0</v>
      </c>
      <c r="AG44" s="51">
        <v>900</v>
      </c>
      <c r="AH44" s="51">
        <v>1000</v>
      </c>
      <c r="AI44" s="58">
        <v>52</v>
      </c>
      <c r="AJ44" s="62">
        <v>0.03</v>
      </c>
      <c r="AK44" s="51">
        <v>12855</v>
      </c>
      <c r="AL44" s="61">
        <v>2070</v>
      </c>
      <c r="AM44" s="57">
        <v>0</v>
      </c>
      <c r="AN44" s="57">
        <v>1</v>
      </c>
      <c r="AO44" s="57">
        <v>3</v>
      </c>
      <c r="AP44" s="57">
        <v>8</v>
      </c>
      <c r="AQ44" s="57">
        <v>16</v>
      </c>
      <c r="AR44" s="57">
        <v>14</v>
      </c>
      <c r="AS44" s="57">
        <v>13</v>
      </c>
      <c r="AT44" s="57">
        <v>7</v>
      </c>
      <c r="AU44" s="57">
        <v>3</v>
      </c>
    </row>
    <row r="45" spans="1:47" ht="15.75" customHeight="1" x14ac:dyDescent="0.2">
      <c r="K45" s="70"/>
      <c r="AA45" s="36" t="s">
        <v>130</v>
      </c>
      <c r="AB45" s="55"/>
      <c r="AC45" s="56"/>
      <c r="AD45" s="57" t="s">
        <v>79</v>
      </c>
      <c r="AE45" s="51">
        <v>710</v>
      </c>
      <c r="AF45" s="51">
        <v>0</v>
      </c>
      <c r="AG45" s="51">
        <v>900</v>
      </c>
      <c r="AH45" s="51">
        <v>1000</v>
      </c>
      <c r="AI45" s="58">
        <v>48.1</v>
      </c>
      <c r="AJ45" s="62">
        <v>0.03</v>
      </c>
      <c r="AK45" s="51">
        <v>14580</v>
      </c>
      <c r="AL45" s="61">
        <v>2185</v>
      </c>
      <c r="AM45" s="57">
        <v>0</v>
      </c>
      <c r="AN45" s="57">
        <v>1</v>
      </c>
      <c r="AO45" s="57">
        <v>2</v>
      </c>
      <c r="AP45" s="57">
        <v>6</v>
      </c>
      <c r="AQ45" s="57">
        <v>14</v>
      </c>
      <c r="AR45" s="57">
        <v>12</v>
      </c>
      <c r="AS45" s="57">
        <v>11</v>
      </c>
      <c r="AT45" s="57">
        <v>6</v>
      </c>
      <c r="AU45" s="57">
        <v>2</v>
      </c>
    </row>
    <row r="46" spans="1:47" ht="15.75" customHeight="1" x14ac:dyDescent="0.2">
      <c r="AA46" s="36" t="s">
        <v>131</v>
      </c>
      <c r="AB46" s="55"/>
      <c r="AC46" s="56"/>
      <c r="AD46" s="57" t="s">
        <v>79</v>
      </c>
      <c r="AE46" s="51">
        <v>800</v>
      </c>
      <c r="AF46" s="51">
        <v>0</v>
      </c>
      <c r="AG46" s="51">
        <v>1000</v>
      </c>
      <c r="AH46" s="51">
        <v>1000</v>
      </c>
      <c r="AI46" s="58">
        <v>65.099999999999994</v>
      </c>
      <c r="AJ46" s="62">
        <v>0.03</v>
      </c>
      <c r="AK46" s="51">
        <v>15930</v>
      </c>
      <c r="AL46" s="61">
        <v>2300</v>
      </c>
      <c r="AM46" s="57">
        <v>0</v>
      </c>
      <c r="AN46" s="57">
        <v>1</v>
      </c>
      <c r="AO46" s="57">
        <v>2</v>
      </c>
      <c r="AP46" s="57">
        <v>5</v>
      </c>
      <c r="AQ46" s="57">
        <v>12</v>
      </c>
      <c r="AR46" s="57">
        <v>10</v>
      </c>
      <c r="AS46" s="57">
        <v>9</v>
      </c>
      <c r="AT46" s="57">
        <v>6</v>
      </c>
      <c r="AU46" s="57">
        <v>2</v>
      </c>
    </row>
    <row r="47" spans="1:47" ht="15.75" customHeight="1" x14ac:dyDescent="0.2">
      <c r="AA47" s="36" t="s">
        <v>132</v>
      </c>
      <c r="AB47" s="55"/>
      <c r="AC47" s="56"/>
      <c r="AD47" s="57" t="s">
        <v>79</v>
      </c>
      <c r="AE47" s="51">
        <v>900</v>
      </c>
      <c r="AF47" s="51">
        <v>0</v>
      </c>
      <c r="AG47" s="51">
        <v>1120</v>
      </c>
      <c r="AH47" s="51">
        <v>1000</v>
      </c>
      <c r="AI47" s="58">
        <v>75.5</v>
      </c>
      <c r="AJ47" s="62">
        <v>0.02</v>
      </c>
      <c r="AK47" s="51">
        <v>18885</v>
      </c>
      <c r="AL47" s="61">
        <v>6385</v>
      </c>
      <c r="AM47" s="57">
        <v>0</v>
      </c>
      <c r="AN47" s="57">
        <v>0</v>
      </c>
      <c r="AO47" s="57">
        <v>1</v>
      </c>
      <c r="AP47" s="57">
        <v>3</v>
      </c>
      <c r="AQ47" s="57">
        <v>8</v>
      </c>
      <c r="AR47" s="57">
        <v>9</v>
      </c>
      <c r="AS47" s="57">
        <v>7</v>
      </c>
      <c r="AT47" s="57">
        <v>2</v>
      </c>
      <c r="AU47" s="57">
        <v>1</v>
      </c>
    </row>
    <row r="48" spans="1:47" ht="15.75" customHeight="1" x14ac:dyDescent="0.2">
      <c r="A48" s="33"/>
      <c r="AA48" s="36" t="s">
        <v>133</v>
      </c>
      <c r="AB48" s="55"/>
      <c r="AC48" s="56"/>
      <c r="AD48" s="57" t="s">
        <v>79</v>
      </c>
      <c r="AE48" s="51">
        <v>1000</v>
      </c>
      <c r="AF48" s="51">
        <v>0</v>
      </c>
      <c r="AG48" s="51">
        <v>1250</v>
      </c>
      <c r="AH48" s="51">
        <v>1000</v>
      </c>
      <c r="AI48" s="58">
        <v>87.2</v>
      </c>
      <c r="AJ48" s="62">
        <v>0.02</v>
      </c>
      <c r="AK48" s="51">
        <v>20690</v>
      </c>
      <c r="AL48" s="61">
        <v>9005</v>
      </c>
      <c r="AM48" s="57">
        <v>0</v>
      </c>
      <c r="AN48" s="57">
        <v>0</v>
      </c>
      <c r="AO48" s="57">
        <v>0</v>
      </c>
      <c r="AP48" s="57">
        <v>1</v>
      </c>
      <c r="AQ48" s="57">
        <v>4</v>
      </c>
      <c r="AR48" s="57">
        <v>5</v>
      </c>
      <c r="AS48" s="57">
        <v>4</v>
      </c>
      <c r="AT48" s="57">
        <v>1</v>
      </c>
      <c r="AU48" s="57">
        <v>0</v>
      </c>
    </row>
    <row r="49" spans="27:47" ht="15.75" customHeight="1" x14ac:dyDescent="0.2">
      <c r="AA49" s="47" t="s">
        <v>134</v>
      </c>
      <c r="AB49" s="48"/>
      <c r="AC49" s="49"/>
      <c r="AD49" s="50" t="s">
        <v>79</v>
      </c>
      <c r="AE49" s="34">
        <v>100</v>
      </c>
      <c r="AF49" s="34">
        <v>0</v>
      </c>
      <c r="AG49" s="34">
        <v>300</v>
      </c>
      <c r="AH49" s="34">
        <v>1500</v>
      </c>
      <c r="AI49" s="17">
        <v>17.5</v>
      </c>
      <c r="AJ49" s="65">
        <v>0.84</v>
      </c>
      <c r="AK49" s="34">
        <v>3015</v>
      </c>
      <c r="AL49" s="61">
        <v>365</v>
      </c>
      <c r="AM49" s="50">
        <v>5</v>
      </c>
      <c r="AN49" s="50">
        <v>6</v>
      </c>
      <c r="AO49" s="50">
        <v>22</v>
      </c>
      <c r="AP49" s="50">
        <v>32</v>
      </c>
      <c r="AQ49" s="50">
        <v>46</v>
      </c>
      <c r="AR49" s="50">
        <v>50</v>
      </c>
      <c r="AS49" s="50">
        <v>50</v>
      </c>
      <c r="AT49" s="50">
        <v>50</v>
      </c>
      <c r="AU49" s="50">
        <v>30</v>
      </c>
    </row>
    <row r="50" spans="27:47" ht="15.75" customHeight="1" x14ac:dyDescent="0.2">
      <c r="AA50" s="47" t="s">
        <v>135</v>
      </c>
      <c r="AB50" s="48"/>
      <c r="AC50" s="49"/>
      <c r="AD50" s="50" t="s">
        <v>79</v>
      </c>
      <c r="AE50" s="34">
        <v>125</v>
      </c>
      <c r="AF50" s="34">
        <v>0</v>
      </c>
      <c r="AG50" s="34">
        <v>315</v>
      </c>
      <c r="AH50" s="34">
        <v>1500</v>
      </c>
      <c r="AI50" s="17">
        <v>19</v>
      </c>
      <c r="AJ50" s="65">
        <v>0.53</v>
      </c>
      <c r="AK50" s="34">
        <v>3170</v>
      </c>
      <c r="AL50" s="61">
        <v>385</v>
      </c>
      <c r="AM50" s="50">
        <v>5</v>
      </c>
      <c r="AN50" s="50">
        <v>6</v>
      </c>
      <c r="AO50" s="50">
        <v>18</v>
      </c>
      <c r="AP50" s="50">
        <v>27</v>
      </c>
      <c r="AQ50" s="50">
        <v>42</v>
      </c>
      <c r="AR50" s="50">
        <v>50</v>
      </c>
      <c r="AS50" s="50">
        <v>50</v>
      </c>
      <c r="AT50" s="50">
        <v>40</v>
      </c>
      <c r="AU50" s="50">
        <v>27</v>
      </c>
    </row>
    <row r="51" spans="27:47" ht="15.75" customHeight="1" x14ac:dyDescent="0.2">
      <c r="AA51" s="47" t="s">
        <v>136</v>
      </c>
      <c r="AB51" s="48"/>
      <c r="AC51" s="49"/>
      <c r="AD51" s="50" t="s">
        <v>79</v>
      </c>
      <c r="AE51" s="34">
        <v>140</v>
      </c>
      <c r="AF51" s="34">
        <v>0</v>
      </c>
      <c r="AG51" s="34">
        <v>355</v>
      </c>
      <c r="AH51" s="34">
        <v>1500</v>
      </c>
      <c r="AI51" s="17">
        <v>22.1</v>
      </c>
      <c r="AJ51" s="65">
        <v>0.44</v>
      </c>
      <c r="AK51" s="34">
        <v>3435</v>
      </c>
      <c r="AL51" s="61">
        <v>410</v>
      </c>
      <c r="AM51" s="50">
        <v>5</v>
      </c>
      <c r="AN51" s="50">
        <v>6</v>
      </c>
      <c r="AO51" s="50">
        <v>17</v>
      </c>
      <c r="AP51" s="50">
        <v>26</v>
      </c>
      <c r="AQ51" s="50">
        <v>41</v>
      </c>
      <c r="AR51" s="50">
        <v>50</v>
      </c>
      <c r="AS51" s="50">
        <v>47</v>
      </c>
      <c r="AT51" s="50">
        <v>36</v>
      </c>
      <c r="AU51" s="50">
        <v>25</v>
      </c>
    </row>
    <row r="52" spans="27:47" ht="15.75" customHeight="1" x14ac:dyDescent="0.2">
      <c r="AA52" s="47" t="s">
        <v>137</v>
      </c>
      <c r="AB52" s="48"/>
      <c r="AC52" s="49"/>
      <c r="AD52" s="50" t="s">
        <v>79</v>
      </c>
      <c r="AE52" s="34">
        <v>150</v>
      </c>
      <c r="AF52" s="34">
        <v>0</v>
      </c>
      <c r="AG52" s="34">
        <v>355</v>
      </c>
      <c r="AH52" s="34">
        <v>1500</v>
      </c>
      <c r="AI52" s="17">
        <v>22.5</v>
      </c>
      <c r="AJ52" s="65">
        <v>0.39</v>
      </c>
      <c r="AK52" s="34">
        <v>3610</v>
      </c>
      <c r="AL52" s="61">
        <v>435</v>
      </c>
      <c r="AM52" s="50">
        <v>5</v>
      </c>
      <c r="AN52" s="50">
        <v>6</v>
      </c>
      <c r="AO52" s="50">
        <v>16</v>
      </c>
      <c r="AP52" s="50">
        <v>25</v>
      </c>
      <c r="AQ52" s="50">
        <v>41</v>
      </c>
      <c r="AR52" s="50">
        <v>50</v>
      </c>
      <c r="AS52" s="50">
        <v>46</v>
      </c>
      <c r="AT52" s="50">
        <v>32</v>
      </c>
      <c r="AU52" s="50">
        <v>22</v>
      </c>
    </row>
    <row r="53" spans="27:47" ht="15.75" customHeight="1" x14ac:dyDescent="0.2">
      <c r="AA53" s="47" t="s">
        <v>138</v>
      </c>
      <c r="AB53" s="48"/>
      <c r="AC53" s="49"/>
      <c r="AD53" s="50" t="s">
        <v>79</v>
      </c>
      <c r="AE53" s="34">
        <v>160</v>
      </c>
      <c r="AF53" s="34">
        <v>0</v>
      </c>
      <c r="AG53" s="34">
        <v>355</v>
      </c>
      <c r="AH53" s="34">
        <v>1500</v>
      </c>
      <c r="AI53" s="17">
        <v>22.8</v>
      </c>
      <c r="AJ53" s="65">
        <v>0.35</v>
      </c>
      <c r="AK53" s="34">
        <v>3900</v>
      </c>
      <c r="AL53" s="61">
        <v>445</v>
      </c>
      <c r="AM53" s="50">
        <v>5</v>
      </c>
      <c r="AN53" s="50">
        <v>6</v>
      </c>
      <c r="AO53" s="50">
        <v>15</v>
      </c>
      <c r="AP53" s="50">
        <v>24</v>
      </c>
      <c r="AQ53" s="50">
        <v>40</v>
      </c>
      <c r="AR53" s="50">
        <v>50</v>
      </c>
      <c r="AS53" s="50">
        <v>45</v>
      </c>
      <c r="AT53" s="50">
        <v>27</v>
      </c>
      <c r="AU53" s="50">
        <v>19</v>
      </c>
    </row>
    <row r="54" spans="27:47" ht="15.75" customHeight="1" x14ac:dyDescent="0.2">
      <c r="AA54" s="47" t="s">
        <v>139</v>
      </c>
      <c r="AB54" s="48"/>
      <c r="AC54" s="49"/>
      <c r="AD54" s="50" t="s">
        <v>79</v>
      </c>
      <c r="AE54" s="34">
        <v>180</v>
      </c>
      <c r="AF54" s="34">
        <v>0</v>
      </c>
      <c r="AG54" s="34">
        <v>400</v>
      </c>
      <c r="AH54" s="34">
        <v>1500</v>
      </c>
      <c r="AI54" s="17">
        <v>26.1</v>
      </c>
      <c r="AJ54" s="65">
        <v>0.31</v>
      </c>
      <c r="AK54" s="34">
        <v>4300</v>
      </c>
      <c r="AL54" s="61">
        <v>465</v>
      </c>
      <c r="AM54" s="50">
        <v>4</v>
      </c>
      <c r="AN54" s="50">
        <v>5</v>
      </c>
      <c r="AO54" s="50">
        <v>13</v>
      </c>
      <c r="AP54" s="50">
        <v>22</v>
      </c>
      <c r="AQ54" s="50">
        <v>38</v>
      </c>
      <c r="AR54" s="50">
        <v>49</v>
      </c>
      <c r="AS54" s="50">
        <v>40</v>
      </c>
      <c r="AT54" s="50">
        <v>24</v>
      </c>
      <c r="AU54" s="50">
        <v>17</v>
      </c>
    </row>
    <row r="55" spans="27:47" ht="15.75" customHeight="1" x14ac:dyDescent="0.2">
      <c r="AA55" s="47" t="s">
        <v>140</v>
      </c>
      <c r="AB55" s="48"/>
      <c r="AC55" s="49"/>
      <c r="AD55" s="50" t="s">
        <v>79</v>
      </c>
      <c r="AE55" s="34">
        <v>200</v>
      </c>
      <c r="AF55" s="34">
        <v>0</v>
      </c>
      <c r="AG55" s="34">
        <v>400</v>
      </c>
      <c r="AH55" s="34">
        <v>1500</v>
      </c>
      <c r="AI55" s="17">
        <v>26.3</v>
      </c>
      <c r="AJ55" s="65">
        <v>0.27</v>
      </c>
      <c r="AK55" s="34">
        <v>4540</v>
      </c>
      <c r="AL55" s="61">
        <v>485</v>
      </c>
      <c r="AM55" s="50">
        <v>4</v>
      </c>
      <c r="AN55" s="50">
        <v>5</v>
      </c>
      <c r="AO55" s="50">
        <v>11</v>
      </c>
      <c r="AP55" s="50">
        <v>21</v>
      </c>
      <c r="AQ55" s="50">
        <v>37</v>
      </c>
      <c r="AR55" s="50">
        <v>48</v>
      </c>
      <c r="AS55" s="50">
        <v>35</v>
      </c>
      <c r="AT55" s="50">
        <v>22</v>
      </c>
      <c r="AU55" s="50">
        <v>16</v>
      </c>
    </row>
    <row r="56" spans="27:47" ht="15.75" customHeight="1" x14ac:dyDescent="0.2">
      <c r="AA56" s="47" t="s">
        <v>141</v>
      </c>
      <c r="AB56" s="48"/>
      <c r="AC56" s="49"/>
      <c r="AD56" s="50" t="s">
        <v>79</v>
      </c>
      <c r="AE56" s="34">
        <v>224</v>
      </c>
      <c r="AF56" s="34">
        <v>0</v>
      </c>
      <c r="AG56" s="34">
        <v>400</v>
      </c>
      <c r="AH56" s="34">
        <v>1500</v>
      </c>
      <c r="AI56" s="17">
        <v>26.5</v>
      </c>
      <c r="AJ56" s="65">
        <v>0.22</v>
      </c>
      <c r="AK56" s="34">
        <v>5015</v>
      </c>
      <c r="AL56" s="61">
        <v>500</v>
      </c>
      <c r="AM56" s="50">
        <v>3</v>
      </c>
      <c r="AN56" s="50">
        <v>4</v>
      </c>
      <c r="AO56" s="50">
        <v>11</v>
      </c>
      <c r="AP56" s="50">
        <v>21</v>
      </c>
      <c r="AQ56" s="50">
        <v>37</v>
      </c>
      <c r="AR56" s="50">
        <v>44</v>
      </c>
      <c r="AS56" s="50">
        <v>31</v>
      </c>
      <c r="AT56" s="50">
        <v>18</v>
      </c>
      <c r="AU56" s="50">
        <v>14</v>
      </c>
    </row>
    <row r="57" spans="27:47" ht="15.75" customHeight="1" x14ac:dyDescent="0.2">
      <c r="AA57" s="47" t="s">
        <v>142</v>
      </c>
      <c r="AB57" s="48"/>
      <c r="AC57" s="49"/>
      <c r="AD57" s="50" t="s">
        <v>79</v>
      </c>
      <c r="AE57" s="34">
        <v>250</v>
      </c>
      <c r="AF57" s="34">
        <v>0</v>
      </c>
      <c r="AG57" s="34">
        <v>450</v>
      </c>
      <c r="AH57" s="34">
        <v>1500</v>
      </c>
      <c r="AI57" s="17">
        <v>30.5</v>
      </c>
      <c r="AJ57" s="65">
        <v>0.19</v>
      </c>
      <c r="AK57" s="34">
        <v>5345</v>
      </c>
      <c r="AL57" s="61">
        <v>625</v>
      </c>
      <c r="AM57" s="50">
        <v>3</v>
      </c>
      <c r="AN57" s="50">
        <v>4</v>
      </c>
      <c r="AO57" s="50">
        <v>11</v>
      </c>
      <c r="AP57" s="50">
        <v>21</v>
      </c>
      <c r="AQ57" s="50">
        <v>37</v>
      </c>
      <c r="AR57" s="50">
        <v>41</v>
      </c>
      <c r="AS57" s="50">
        <v>27</v>
      </c>
      <c r="AT57" s="50">
        <v>15</v>
      </c>
      <c r="AU57" s="50">
        <v>12</v>
      </c>
    </row>
    <row r="58" spans="27:47" ht="15.75" customHeight="1" x14ac:dyDescent="0.2">
      <c r="AA58" s="47" t="s">
        <v>143</v>
      </c>
      <c r="AB58" s="48"/>
      <c r="AC58" s="49"/>
      <c r="AD58" s="50" t="s">
        <v>79</v>
      </c>
      <c r="AE58" s="34">
        <v>280</v>
      </c>
      <c r="AF58" s="34">
        <v>0</v>
      </c>
      <c r="AG58" s="34">
        <v>500</v>
      </c>
      <c r="AH58" s="34">
        <v>1500</v>
      </c>
      <c r="AI58" s="17">
        <v>35.1</v>
      </c>
      <c r="AJ58" s="65">
        <v>0.16</v>
      </c>
      <c r="AK58" s="34">
        <v>5830</v>
      </c>
      <c r="AL58" s="61">
        <v>640</v>
      </c>
      <c r="AM58" s="50">
        <v>3</v>
      </c>
      <c r="AN58" s="50">
        <v>4</v>
      </c>
      <c r="AO58" s="50">
        <v>11</v>
      </c>
      <c r="AP58" s="50">
        <v>19</v>
      </c>
      <c r="AQ58" s="50">
        <v>34</v>
      </c>
      <c r="AR58" s="50">
        <v>41</v>
      </c>
      <c r="AS58" s="50">
        <v>25</v>
      </c>
      <c r="AT58" s="50">
        <v>15</v>
      </c>
      <c r="AU58" s="50">
        <v>11</v>
      </c>
    </row>
    <row r="59" spans="27:47" ht="15.75" customHeight="1" x14ac:dyDescent="0.2">
      <c r="AA59" s="47" t="s">
        <v>144</v>
      </c>
      <c r="AB59" s="48"/>
      <c r="AC59" s="49"/>
      <c r="AD59" s="50" t="s">
        <v>79</v>
      </c>
      <c r="AE59" s="34">
        <v>300</v>
      </c>
      <c r="AF59" s="34">
        <v>0</v>
      </c>
      <c r="AG59" s="34">
        <v>500</v>
      </c>
      <c r="AH59" s="34">
        <v>1500</v>
      </c>
      <c r="AI59" s="17">
        <v>34.5</v>
      </c>
      <c r="AJ59" s="65">
        <v>0.14000000000000001</v>
      </c>
      <c r="AK59" s="34">
        <v>6170</v>
      </c>
      <c r="AL59" s="61">
        <v>675</v>
      </c>
      <c r="AM59" s="50">
        <v>2</v>
      </c>
      <c r="AN59" s="50">
        <v>3</v>
      </c>
      <c r="AO59" s="50">
        <v>10</v>
      </c>
      <c r="AP59" s="50">
        <v>17</v>
      </c>
      <c r="AQ59" s="50">
        <v>31</v>
      </c>
      <c r="AR59" s="50">
        <v>41</v>
      </c>
      <c r="AS59" s="50">
        <v>24</v>
      </c>
      <c r="AT59" s="50">
        <v>14</v>
      </c>
      <c r="AU59" s="50">
        <v>10</v>
      </c>
    </row>
    <row r="60" spans="27:47" ht="15.75" customHeight="1" x14ac:dyDescent="0.2">
      <c r="AA60" s="47" t="s">
        <v>145</v>
      </c>
      <c r="AB60" s="48"/>
      <c r="AC60" s="49"/>
      <c r="AD60" s="50" t="s">
        <v>79</v>
      </c>
      <c r="AE60" s="34">
        <v>315</v>
      </c>
      <c r="AF60" s="34">
        <v>0</v>
      </c>
      <c r="AG60" s="34">
        <v>500</v>
      </c>
      <c r="AH60" s="34">
        <v>1500</v>
      </c>
      <c r="AI60" s="17">
        <v>34.799999999999997</v>
      </c>
      <c r="AJ60" s="65">
        <v>0.13</v>
      </c>
      <c r="AK60" s="34">
        <v>6355</v>
      </c>
      <c r="AL60" s="61">
        <v>700</v>
      </c>
      <c r="AM60" s="50">
        <v>2</v>
      </c>
      <c r="AN60" s="50">
        <v>3</v>
      </c>
      <c r="AO60" s="50">
        <v>9</v>
      </c>
      <c r="AP60" s="50">
        <v>16</v>
      </c>
      <c r="AQ60" s="50">
        <v>31</v>
      </c>
      <c r="AR60" s="50">
        <v>41</v>
      </c>
      <c r="AS60" s="50">
        <v>23</v>
      </c>
      <c r="AT60" s="50">
        <v>14</v>
      </c>
      <c r="AU60" s="50">
        <v>9</v>
      </c>
    </row>
    <row r="61" spans="27:47" ht="15.75" customHeight="1" x14ac:dyDescent="0.2">
      <c r="AA61" s="47" t="s">
        <v>146</v>
      </c>
      <c r="AB61" s="48"/>
      <c r="AC61" s="49"/>
      <c r="AD61" s="50" t="s">
        <v>79</v>
      </c>
      <c r="AE61" s="34">
        <v>355</v>
      </c>
      <c r="AF61" s="34">
        <v>0</v>
      </c>
      <c r="AG61" s="34">
        <v>560</v>
      </c>
      <c r="AH61" s="34">
        <v>1500</v>
      </c>
      <c r="AI61" s="17">
        <v>40.200000000000003</v>
      </c>
      <c r="AJ61" s="65">
        <v>0.11</v>
      </c>
      <c r="AK61" s="34">
        <v>7370</v>
      </c>
      <c r="AL61" s="61">
        <v>900</v>
      </c>
      <c r="AM61" s="50">
        <v>2</v>
      </c>
      <c r="AN61" s="50">
        <v>3</v>
      </c>
      <c r="AO61" s="50">
        <v>8</v>
      </c>
      <c r="AP61" s="50">
        <v>15</v>
      </c>
      <c r="AQ61" s="50">
        <v>30</v>
      </c>
      <c r="AR61" s="50">
        <v>36</v>
      </c>
      <c r="AS61" s="50">
        <v>19</v>
      </c>
      <c r="AT61" s="50">
        <v>13</v>
      </c>
      <c r="AU61" s="50">
        <v>8</v>
      </c>
    </row>
    <row r="62" spans="27:47" ht="15.75" customHeight="1" x14ac:dyDescent="0.2">
      <c r="AA62" s="47" t="s">
        <v>147</v>
      </c>
      <c r="AB62" s="48"/>
      <c r="AC62" s="49"/>
      <c r="AD62" s="50" t="s">
        <v>79</v>
      </c>
      <c r="AE62" s="34">
        <v>400</v>
      </c>
      <c r="AF62" s="34">
        <v>0</v>
      </c>
      <c r="AG62" s="34">
        <v>600</v>
      </c>
      <c r="AH62" s="34">
        <v>1500</v>
      </c>
      <c r="AI62" s="17">
        <v>43.1</v>
      </c>
      <c r="AJ62" s="65">
        <v>0.09</v>
      </c>
      <c r="AK62" s="34">
        <v>7935</v>
      </c>
      <c r="AL62" s="61">
        <v>1100</v>
      </c>
      <c r="AM62" s="50">
        <v>2</v>
      </c>
      <c r="AN62" s="50">
        <v>3</v>
      </c>
      <c r="AO62" s="50">
        <v>7</v>
      </c>
      <c r="AP62" s="50">
        <v>15</v>
      </c>
      <c r="AQ62" s="50">
        <v>30</v>
      </c>
      <c r="AR62" s="50">
        <v>31</v>
      </c>
      <c r="AS62" s="50">
        <v>16</v>
      </c>
      <c r="AT62" s="50">
        <v>12</v>
      </c>
      <c r="AU62" s="50">
        <v>7</v>
      </c>
    </row>
    <row r="63" spans="27:47" ht="15.75" customHeight="1" x14ac:dyDescent="0.2">
      <c r="AA63" s="47" t="s">
        <v>148</v>
      </c>
      <c r="AB63" s="48"/>
      <c r="AC63" s="49"/>
      <c r="AD63" s="50" t="s">
        <v>79</v>
      </c>
      <c r="AE63" s="34">
        <v>450</v>
      </c>
      <c r="AF63" s="34">
        <v>0</v>
      </c>
      <c r="AG63" s="34">
        <v>630</v>
      </c>
      <c r="AH63" s="34">
        <v>1500</v>
      </c>
      <c r="AI63" s="17">
        <v>45.1</v>
      </c>
      <c r="AJ63" s="65">
        <v>0.08</v>
      </c>
      <c r="AK63" s="34">
        <v>9875</v>
      </c>
      <c r="AL63" s="61">
        <v>1360</v>
      </c>
      <c r="AM63" s="50">
        <v>1</v>
      </c>
      <c r="AN63" s="50">
        <v>2</v>
      </c>
      <c r="AO63" s="50">
        <v>6</v>
      </c>
      <c r="AP63" s="50">
        <v>15</v>
      </c>
      <c r="AQ63" s="50">
        <v>30</v>
      </c>
      <c r="AR63" s="50">
        <v>29</v>
      </c>
      <c r="AS63" s="50">
        <v>15</v>
      </c>
      <c r="AT63" s="50">
        <v>10</v>
      </c>
      <c r="AU63" s="50">
        <v>6</v>
      </c>
    </row>
    <row r="64" spans="27:47" ht="15.75" customHeight="1" x14ac:dyDescent="0.2">
      <c r="AA64" s="47" t="s">
        <v>149</v>
      </c>
      <c r="AB64" s="48"/>
      <c r="AC64" s="49"/>
      <c r="AD64" s="50" t="s">
        <v>79</v>
      </c>
      <c r="AE64" s="34">
        <v>500</v>
      </c>
      <c r="AF64" s="34">
        <v>0</v>
      </c>
      <c r="AG64" s="34">
        <v>710</v>
      </c>
      <c r="AH64" s="34">
        <v>1500</v>
      </c>
      <c r="AI64" s="17">
        <v>53.1</v>
      </c>
      <c r="AJ64" s="65">
        <v>0.06</v>
      </c>
      <c r="AK64" s="34">
        <v>11500</v>
      </c>
      <c r="AL64" s="61">
        <v>1505</v>
      </c>
      <c r="AM64" s="50">
        <v>1</v>
      </c>
      <c r="AN64" s="50">
        <v>2</v>
      </c>
      <c r="AO64" s="50">
        <v>6</v>
      </c>
      <c r="AP64" s="50">
        <v>14</v>
      </c>
      <c r="AQ64" s="50">
        <v>29</v>
      </c>
      <c r="AR64" s="50">
        <v>27</v>
      </c>
      <c r="AS64" s="50">
        <v>14</v>
      </c>
      <c r="AT64" s="50">
        <v>8</v>
      </c>
      <c r="AU64" s="50">
        <v>6</v>
      </c>
    </row>
    <row r="65" spans="27:47" ht="15.75" customHeight="1" x14ac:dyDescent="0.2">
      <c r="AA65" s="47" t="s">
        <v>150</v>
      </c>
      <c r="AB65" s="48"/>
      <c r="AC65" s="49"/>
      <c r="AD65" s="50" t="s">
        <v>79</v>
      </c>
      <c r="AE65" s="34">
        <v>560</v>
      </c>
      <c r="AF65" s="34">
        <v>0</v>
      </c>
      <c r="AG65" s="34">
        <v>800</v>
      </c>
      <c r="AH65" s="34">
        <v>1500</v>
      </c>
      <c r="AI65" s="17">
        <v>62</v>
      </c>
      <c r="AJ65" s="65">
        <v>0.06</v>
      </c>
      <c r="AK65" s="34">
        <v>13650</v>
      </c>
      <c r="AL65" s="61">
        <v>1580</v>
      </c>
      <c r="AM65" s="50">
        <v>1</v>
      </c>
      <c r="AN65" s="50">
        <v>2</v>
      </c>
      <c r="AO65" s="50">
        <v>5</v>
      </c>
      <c r="AP65" s="50">
        <v>14</v>
      </c>
      <c r="AQ65" s="50">
        <v>29</v>
      </c>
      <c r="AR65" s="50">
        <v>25</v>
      </c>
      <c r="AS65" s="50">
        <v>14</v>
      </c>
      <c r="AT65" s="50">
        <v>8</v>
      </c>
      <c r="AU65" s="50">
        <v>5</v>
      </c>
    </row>
    <row r="66" spans="27:47" ht="15.75" customHeight="1" x14ac:dyDescent="0.2">
      <c r="AA66" s="47" t="s">
        <v>151</v>
      </c>
      <c r="AB66" s="48"/>
      <c r="AC66" s="49"/>
      <c r="AD66" s="50" t="s">
        <v>79</v>
      </c>
      <c r="AE66" s="34">
        <v>600</v>
      </c>
      <c r="AF66" s="34">
        <v>0</v>
      </c>
      <c r="AG66" s="34">
        <v>800</v>
      </c>
      <c r="AH66" s="34">
        <v>1500</v>
      </c>
      <c r="AI66" s="17">
        <v>65</v>
      </c>
      <c r="AJ66" s="65">
        <v>0.06</v>
      </c>
      <c r="AK66" s="34">
        <v>14865</v>
      </c>
      <c r="AL66" s="61">
        <v>1625</v>
      </c>
      <c r="AM66" s="50">
        <v>1</v>
      </c>
      <c r="AN66" s="50">
        <v>2</v>
      </c>
      <c r="AO66" s="50">
        <v>5</v>
      </c>
      <c r="AP66" s="50">
        <v>13</v>
      </c>
      <c r="AQ66" s="50">
        <v>28</v>
      </c>
      <c r="AR66" s="50">
        <v>24</v>
      </c>
      <c r="AS66" s="50">
        <v>13</v>
      </c>
      <c r="AT66" s="50">
        <v>7</v>
      </c>
      <c r="AU66" s="50">
        <v>4</v>
      </c>
    </row>
    <row r="67" spans="27:47" ht="15.75" customHeight="1" x14ac:dyDescent="0.2">
      <c r="AA67" s="47" t="s">
        <v>152</v>
      </c>
      <c r="AB67" s="48"/>
      <c r="AC67" s="49"/>
      <c r="AD67" s="50" t="s">
        <v>79</v>
      </c>
      <c r="AE67" s="34">
        <v>630</v>
      </c>
      <c r="AF67" s="34">
        <v>0</v>
      </c>
      <c r="AG67" s="34">
        <v>900</v>
      </c>
      <c r="AH67" s="34">
        <v>1500</v>
      </c>
      <c r="AI67" s="17">
        <v>73.5</v>
      </c>
      <c r="AJ67" s="65">
        <v>0.04</v>
      </c>
      <c r="AK67" s="34">
        <v>15760</v>
      </c>
      <c r="AL67" s="61">
        <v>2070</v>
      </c>
      <c r="AM67" s="50">
        <v>1</v>
      </c>
      <c r="AN67" s="50">
        <v>2</v>
      </c>
      <c r="AO67" s="50">
        <v>5</v>
      </c>
      <c r="AP67" s="50">
        <v>12</v>
      </c>
      <c r="AQ67" s="50">
        <v>28</v>
      </c>
      <c r="AR67" s="50">
        <v>23</v>
      </c>
      <c r="AS67" s="50">
        <v>13</v>
      </c>
      <c r="AT67" s="50">
        <v>7</v>
      </c>
      <c r="AU67" s="50">
        <v>4</v>
      </c>
    </row>
    <row r="68" spans="27:47" ht="15.75" customHeight="1" x14ac:dyDescent="0.2">
      <c r="AA68" s="47" t="s">
        <v>153</v>
      </c>
      <c r="AB68" s="48"/>
      <c r="AC68" s="49"/>
      <c r="AD68" s="50" t="s">
        <v>79</v>
      </c>
      <c r="AE68" s="34">
        <v>710</v>
      </c>
      <c r="AF68" s="34">
        <v>0</v>
      </c>
      <c r="AG68" s="34">
        <v>900</v>
      </c>
      <c r="AH68" s="34">
        <v>1500</v>
      </c>
      <c r="AI68" s="17">
        <v>68.2</v>
      </c>
      <c r="AJ68" s="65">
        <v>0.04</v>
      </c>
      <c r="AK68" s="34">
        <v>17655</v>
      </c>
      <c r="AL68" s="61">
        <v>2185</v>
      </c>
      <c r="AM68" s="50">
        <v>1</v>
      </c>
      <c r="AN68" s="50">
        <v>2</v>
      </c>
      <c r="AO68" s="50">
        <v>4</v>
      </c>
      <c r="AP68" s="50">
        <v>11</v>
      </c>
      <c r="AQ68" s="50">
        <v>27</v>
      </c>
      <c r="AR68" s="50">
        <v>21</v>
      </c>
      <c r="AS68" s="50">
        <v>11</v>
      </c>
      <c r="AT68" s="50">
        <v>6</v>
      </c>
      <c r="AU68" s="50">
        <v>4</v>
      </c>
    </row>
    <row r="69" spans="27:47" ht="15.75" customHeight="1" x14ac:dyDescent="0.2">
      <c r="AA69" s="47" t="s">
        <v>154</v>
      </c>
      <c r="AB69" s="48"/>
      <c r="AC69" s="49"/>
      <c r="AD69" s="50" t="s">
        <v>79</v>
      </c>
      <c r="AE69" s="34">
        <v>800</v>
      </c>
      <c r="AF69" s="34">
        <v>0</v>
      </c>
      <c r="AG69" s="34">
        <v>1000</v>
      </c>
      <c r="AH69" s="34">
        <v>1500</v>
      </c>
      <c r="AI69" s="17">
        <v>91.2</v>
      </c>
      <c r="AJ69" s="65">
        <v>0.04</v>
      </c>
      <c r="AK69" s="34">
        <v>19355</v>
      </c>
      <c r="AL69" s="61">
        <v>2300</v>
      </c>
      <c r="AM69" s="50">
        <v>1</v>
      </c>
      <c r="AN69" s="50">
        <v>2</v>
      </c>
      <c r="AO69" s="50">
        <v>4</v>
      </c>
      <c r="AP69" s="50">
        <v>11</v>
      </c>
      <c r="AQ69" s="50">
        <v>26</v>
      </c>
      <c r="AR69" s="50">
        <v>20</v>
      </c>
      <c r="AS69" s="50">
        <v>9</v>
      </c>
      <c r="AT69" s="50">
        <v>6</v>
      </c>
      <c r="AU69" s="50">
        <v>3</v>
      </c>
    </row>
    <row r="70" spans="27:47" ht="15.75" customHeight="1" x14ac:dyDescent="0.2">
      <c r="AA70" s="47" t="s">
        <v>155</v>
      </c>
      <c r="AB70" s="48"/>
      <c r="AC70" s="49"/>
      <c r="AD70" s="50" t="s">
        <v>79</v>
      </c>
      <c r="AE70" s="34">
        <v>900</v>
      </c>
      <c r="AF70" s="34">
        <v>0</v>
      </c>
      <c r="AG70" s="34">
        <v>1120</v>
      </c>
      <c r="AH70" s="34">
        <v>1500</v>
      </c>
      <c r="AI70" s="17">
        <v>105.5</v>
      </c>
      <c r="AJ70" s="65">
        <v>0.03</v>
      </c>
      <c r="AK70" s="34">
        <v>25035</v>
      </c>
      <c r="AL70" s="61">
        <v>6385</v>
      </c>
      <c r="AM70" s="50">
        <v>0</v>
      </c>
      <c r="AN70" s="50">
        <v>1</v>
      </c>
      <c r="AO70" s="50">
        <v>3</v>
      </c>
      <c r="AP70" s="50">
        <v>8</v>
      </c>
      <c r="AQ70" s="50">
        <v>20</v>
      </c>
      <c r="AR70" s="50">
        <v>16</v>
      </c>
      <c r="AS70" s="50">
        <v>6</v>
      </c>
      <c r="AT70" s="50">
        <v>4</v>
      </c>
      <c r="AU70" s="50">
        <v>2</v>
      </c>
    </row>
    <row r="71" spans="27:47" ht="15.75" customHeight="1" x14ac:dyDescent="0.2">
      <c r="AA71" s="47" t="s">
        <v>156</v>
      </c>
      <c r="AB71" s="48"/>
      <c r="AC71" s="49"/>
      <c r="AD71" s="50" t="s">
        <v>79</v>
      </c>
      <c r="AE71" s="34">
        <v>1000</v>
      </c>
      <c r="AF71" s="34">
        <v>0</v>
      </c>
      <c r="AG71" s="34">
        <v>1250</v>
      </c>
      <c r="AH71" s="34">
        <v>1500</v>
      </c>
      <c r="AI71" s="17">
        <v>121.5</v>
      </c>
      <c r="AJ71" s="65">
        <v>0.03</v>
      </c>
      <c r="AK71" s="34">
        <v>27265</v>
      </c>
      <c r="AL71" s="61">
        <v>9005</v>
      </c>
      <c r="AM71" s="50">
        <v>0</v>
      </c>
      <c r="AN71" s="50">
        <v>0</v>
      </c>
      <c r="AO71" s="50">
        <v>1</v>
      </c>
      <c r="AP71" s="50">
        <v>4</v>
      </c>
      <c r="AQ71" s="50">
        <v>10</v>
      </c>
      <c r="AR71" s="50">
        <v>8</v>
      </c>
      <c r="AS71" s="50">
        <v>3</v>
      </c>
      <c r="AT71" s="50">
        <v>2</v>
      </c>
      <c r="AU71" s="50">
        <v>1</v>
      </c>
    </row>
    <row r="72" spans="27:47" ht="15.75" customHeight="1" x14ac:dyDescent="0.2">
      <c r="AA72" s="36" t="s">
        <v>157</v>
      </c>
      <c r="AB72" s="55"/>
      <c r="AC72" s="56"/>
      <c r="AD72" s="57" t="s">
        <v>79</v>
      </c>
      <c r="AE72" s="51">
        <v>100</v>
      </c>
      <c r="AF72" s="51">
        <v>0</v>
      </c>
      <c r="AG72" s="51">
        <v>300</v>
      </c>
      <c r="AH72" s="51">
        <v>2000</v>
      </c>
      <c r="AI72" s="58">
        <v>23</v>
      </c>
      <c r="AJ72" s="62">
        <v>1.1299999999999999</v>
      </c>
      <c r="AK72" s="51">
        <v>3740</v>
      </c>
      <c r="AL72" s="61">
        <v>365</v>
      </c>
      <c r="AM72" s="57">
        <v>6</v>
      </c>
      <c r="AN72" s="57">
        <v>7</v>
      </c>
      <c r="AO72" s="57">
        <v>28</v>
      </c>
      <c r="AP72" s="57">
        <v>41</v>
      </c>
      <c r="AQ72" s="57">
        <v>50</v>
      </c>
      <c r="AR72" s="57">
        <v>50</v>
      </c>
      <c r="AS72" s="57">
        <v>50</v>
      </c>
      <c r="AT72" s="57">
        <v>50</v>
      </c>
      <c r="AU72" s="57">
        <v>39</v>
      </c>
    </row>
    <row r="73" spans="27:47" ht="15.75" customHeight="1" x14ac:dyDescent="0.2">
      <c r="AA73" s="36" t="s">
        <v>158</v>
      </c>
      <c r="AB73" s="55"/>
      <c r="AC73" s="56"/>
      <c r="AD73" s="57" t="s">
        <v>79</v>
      </c>
      <c r="AE73" s="51">
        <v>125</v>
      </c>
      <c r="AF73" s="51">
        <v>0</v>
      </c>
      <c r="AG73" s="51">
        <v>315</v>
      </c>
      <c r="AH73" s="51">
        <v>2000</v>
      </c>
      <c r="AI73" s="58">
        <v>24.5</v>
      </c>
      <c r="AJ73" s="62">
        <v>0.72</v>
      </c>
      <c r="AK73" s="51">
        <v>3950</v>
      </c>
      <c r="AL73" s="61">
        <v>385</v>
      </c>
      <c r="AM73" s="57">
        <v>6</v>
      </c>
      <c r="AN73" s="57">
        <v>7</v>
      </c>
      <c r="AO73" s="57">
        <v>23</v>
      </c>
      <c r="AP73" s="57">
        <v>35</v>
      </c>
      <c r="AQ73" s="57">
        <v>50</v>
      </c>
      <c r="AR73" s="57">
        <v>50</v>
      </c>
      <c r="AS73" s="57">
        <v>50</v>
      </c>
      <c r="AT73" s="57">
        <v>50</v>
      </c>
      <c r="AU73" s="57">
        <v>35</v>
      </c>
    </row>
    <row r="74" spans="27:47" ht="15.75" customHeight="1" x14ac:dyDescent="0.2">
      <c r="AA74" s="36" t="s">
        <v>159</v>
      </c>
      <c r="AB74" s="55"/>
      <c r="AC74" s="56"/>
      <c r="AD74" s="57" t="s">
        <v>79</v>
      </c>
      <c r="AE74" s="51">
        <v>140</v>
      </c>
      <c r="AF74" s="51">
        <v>0</v>
      </c>
      <c r="AG74" s="51">
        <v>355</v>
      </c>
      <c r="AH74" s="51">
        <v>2000</v>
      </c>
      <c r="AI74" s="58">
        <v>29.1</v>
      </c>
      <c r="AJ74" s="62">
        <v>0.57999999999999996</v>
      </c>
      <c r="AK74" s="51">
        <v>4215</v>
      </c>
      <c r="AL74" s="61">
        <v>410</v>
      </c>
      <c r="AM74" s="57">
        <v>6</v>
      </c>
      <c r="AN74" s="57">
        <v>7</v>
      </c>
      <c r="AO74" s="57">
        <v>21</v>
      </c>
      <c r="AP74" s="57">
        <v>33</v>
      </c>
      <c r="AQ74" s="57">
        <v>50</v>
      </c>
      <c r="AR74" s="57">
        <v>50</v>
      </c>
      <c r="AS74" s="57">
        <v>50</v>
      </c>
      <c r="AT74" s="57">
        <v>45</v>
      </c>
      <c r="AU74" s="57">
        <v>31</v>
      </c>
    </row>
    <row r="75" spans="27:47" ht="15.75" customHeight="1" x14ac:dyDescent="0.2">
      <c r="AA75" s="36" t="s">
        <v>160</v>
      </c>
      <c r="AB75" s="55"/>
      <c r="AC75" s="56"/>
      <c r="AD75" s="57" t="s">
        <v>79</v>
      </c>
      <c r="AE75" s="51">
        <v>150</v>
      </c>
      <c r="AF75" s="51">
        <v>0</v>
      </c>
      <c r="AG75" s="51">
        <v>355</v>
      </c>
      <c r="AH75" s="51">
        <v>2000</v>
      </c>
      <c r="AI75" s="58">
        <v>29.3</v>
      </c>
      <c r="AJ75" s="62">
        <v>0.52</v>
      </c>
      <c r="AK75" s="51">
        <v>4545</v>
      </c>
      <c r="AL75" s="61">
        <v>435</v>
      </c>
      <c r="AM75" s="57">
        <v>6</v>
      </c>
      <c r="AN75" s="57">
        <v>7</v>
      </c>
      <c r="AO75" s="57">
        <v>20</v>
      </c>
      <c r="AP75" s="57">
        <v>32</v>
      </c>
      <c r="AQ75" s="57">
        <v>50</v>
      </c>
      <c r="AR75" s="57">
        <v>50</v>
      </c>
      <c r="AS75" s="57">
        <v>50</v>
      </c>
      <c r="AT75" s="57">
        <v>40</v>
      </c>
      <c r="AU75" s="57">
        <v>28</v>
      </c>
    </row>
    <row r="76" spans="27:47" ht="15.75" customHeight="1" x14ac:dyDescent="0.2">
      <c r="AA76" s="36" t="s">
        <v>161</v>
      </c>
      <c r="AB76" s="55"/>
      <c r="AC76" s="56"/>
      <c r="AD76" s="57" t="s">
        <v>79</v>
      </c>
      <c r="AE76" s="51">
        <v>160</v>
      </c>
      <c r="AF76" s="51">
        <v>0</v>
      </c>
      <c r="AG76" s="51">
        <v>355</v>
      </c>
      <c r="AH76" s="51">
        <v>2000</v>
      </c>
      <c r="AI76" s="58">
        <v>29.5</v>
      </c>
      <c r="AJ76" s="62">
        <v>0.48</v>
      </c>
      <c r="AK76" s="51">
        <v>4775</v>
      </c>
      <c r="AL76" s="61">
        <v>445</v>
      </c>
      <c r="AM76" s="57">
        <v>6</v>
      </c>
      <c r="AN76" s="57">
        <v>7</v>
      </c>
      <c r="AO76" s="57">
        <v>19</v>
      </c>
      <c r="AP76" s="57">
        <v>31</v>
      </c>
      <c r="AQ76" s="57">
        <v>50</v>
      </c>
      <c r="AR76" s="57">
        <v>50</v>
      </c>
      <c r="AS76" s="57">
        <v>50</v>
      </c>
      <c r="AT76" s="57">
        <v>35</v>
      </c>
      <c r="AU76" s="57">
        <v>24</v>
      </c>
    </row>
    <row r="77" spans="27:47" ht="15.75" customHeight="1" x14ac:dyDescent="0.2">
      <c r="AA77" s="36" t="s">
        <v>162</v>
      </c>
      <c r="AB77" s="55"/>
      <c r="AC77" s="56"/>
      <c r="AD77" s="57" t="s">
        <v>79</v>
      </c>
      <c r="AE77" s="51">
        <v>180</v>
      </c>
      <c r="AF77" s="51">
        <v>0</v>
      </c>
      <c r="AG77" s="51">
        <v>400</v>
      </c>
      <c r="AH77" s="51">
        <v>2000</v>
      </c>
      <c r="AI77" s="58">
        <v>34.1</v>
      </c>
      <c r="AJ77" s="62">
        <v>0.41</v>
      </c>
      <c r="AK77" s="51">
        <v>5235</v>
      </c>
      <c r="AL77" s="61">
        <v>465</v>
      </c>
      <c r="AM77" s="57">
        <v>5</v>
      </c>
      <c r="AN77" s="57">
        <v>6</v>
      </c>
      <c r="AO77" s="57">
        <v>17</v>
      </c>
      <c r="AP77" s="57">
        <v>29</v>
      </c>
      <c r="AQ77" s="57">
        <v>48</v>
      </c>
      <c r="AR77" s="57">
        <v>50</v>
      </c>
      <c r="AS77" s="57">
        <v>47</v>
      </c>
      <c r="AT77" s="57">
        <v>31</v>
      </c>
      <c r="AU77" s="57">
        <v>22</v>
      </c>
    </row>
    <row r="78" spans="27:47" ht="15.75" customHeight="1" x14ac:dyDescent="0.2">
      <c r="AA78" s="36" t="s">
        <v>163</v>
      </c>
      <c r="AB78" s="55"/>
      <c r="AC78" s="56"/>
      <c r="AD78" s="57" t="s">
        <v>79</v>
      </c>
      <c r="AE78" s="51">
        <v>200</v>
      </c>
      <c r="AF78" s="51">
        <v>0</v>
      </c>
      <c r="AG78" s="51">
        <v>400</v>
      </c>
      <c r="AH78" s="51">
        <v>2000</v>
      </c>
      <c r="AI78" s="58">
        <v>34.5</v>
      </c>
      <c r="AJ78" s="62">
        <v>0.35</v>
      </c>
      <c r="AK78" s="51">
        <v>5540</v>
      </c>
      <c r="AL78" s="61">
        <v>485</v>
      </c>
      <c r="AM78" s="57">
        <v>5</v>
      </c>
      <c r="AN78" s="57">
        <v>6</v>
      </c>
      <c r="AO78" s="57">
        <v>16</v>
      </c>
      <c r="AP78" s="57">
        <v>27</v>
      </c>
      <c r="AQ78" s="57">
        <v>48</v>
      </c>
      <c r="AR78" s="57">
        <v>50</v>
      </c>
      <c r="AS78" s="57">
        <v>45</v>
      </c>
      <c r="AT78" s="57">
        <v>28</v>
      </c>
      <c r="AU78" s="57">
        <v>20</v>
      </c>
    </row>
    <row r="79" spans="27:47" ht="15.75" customHeight="1" x14ac:dyDescent="0.2">
      <c r="AA79" s="36" t="s">
        <v>164</v>
      </c>
      <c r="AB79" s="55"/>
      <c r="AC79" s="56"/>
      <c r="AD79" s="57" t="s">
        <v>79</v>
      </c>
      <c r="AE79" s="51">
        <v>224</v>
      </c>
      <c r="AF79" s="51">
        <v>0</v>
      </c>
      <c r="AG79" s="51">
        <v>400</v>
      </c>
      <c r="AH79" s="51">
        <v>2000</v>
      </c>
      <c r="AI79" s="58">
        <v>35.5</v>
      </c>
      <c r="AJ79" s="62">
        <v>0.28999999999999998</v>
      </c>
      <c r="AK79" s="51">
        <v>6050</v>
      </c>
      <c r="AL79" s="61">
        <v>500</v>
      </c>
      <c r="AM79" s="57">
        <v>4</v>
      </c>
      <c r="AN79" s="57">
        <v>5</v>
      </c>
      <c r="AO79" s="57">
        <v>15</v>
      </c>
      <c r="AP79" s="57">
        <v>27</v>
      </c>
      <c r="AQ79" s="57">
        <v>47</v>
      </c>
      <c r="AR79" s="57">
        <v>50</v>
      </c>
      <c r="AS79" s="57">
        <v>37</v>
      </c>
      <c r="AT79" s="57">
        <v>23</v>
      </c>
      <c r="AU79" s="57">
        <v>16</v>
      </c>
    </row>
    <row r="80" spans="27:47" ht="15.75" customHeight="1" x14ac:dyDescent="0.2">
      <c r="AA80" s="36" t="s">
        <v>165</v>
      </c>
      <c r="AB80" s="55"/>
      <c r="AC80" s="56"/>
      <c r="AD80" s="57" t="s">
        <v>79</v>
      </c>
      <c r="AE80" s="51">
        <v>250</v>
      </c>
      <c r="AF80" s="51">
        <v>0</v>
      </c>
      <c r="AG80" s="51">
        <v>450</v>
      </c>
      <c r="AH80" s="51">
        <v>2000</v>
      </c>
      <c r="AI80" s="58">
        <v>39.1</v>
      </c>
      <c r="AJ80" s="62">
        <v>0.26</v>
      </c>
      <c r="AK80" s="51">
        <v>6465</v>
      </c>
      <c r="AL80" s="61">
        <v>625</v>
      </c>
      <c r="AM80" s="57">
        <v>4</v>
      </c>
      <c r="AN80" s="57">
        <v>5</v>
      </c>
      <c r="AO80" s="57">
        <v>14</v>
      </c>
      <c r="AP80" s="57">
        <v>27</v>
      </c>
      <c r="AQ80" s="57">
        <v>46</v>
      </c>
      <c r="AR80" s="57">
        <v>50</v>
      </c>
      <c r="AS80" s="57">
        <v>35</v>
      </c>
      <c r="AT80" s="57">
        <v>19</v>
      </c>
      <c r="AU80" s="57">
        <v>15</v>
      </c>
    </row>
    <row r="81" spans="27:47" ht="15.75" customHeight="1" x14ac:dyDescent="0.2">
      <c r="AA81" s="36" t="s">
        <v>166</v>
      </c>
      <c r="AB81" s="55"/>
      <c r="AC81" s="56"/>
      <c r="AD81" s="57" t="s">
        <v>79</v>
      </c>
      <c r="AE81" s="51">
        <v>280</v>
      </c>
      <c r="AF81" s="51">
        <v>0</v>
      </c>
      <c r="AG81" s="51">
        <v>500</v>
      </c>
      <c r="AH81" s="51">
        <v>2000</v>
      </c>
      <c r="AI81" s="58">
        <v>45.1</v>
      </c>
      <c r="AJ81" s="62">
        <v>0.21</v>
      </c>
      <c r="AK81" s="51">
        <v>6985</v>
      </c>
      <c r="AL81" s="61">
        <v>640</v>
      </c>
      <c r="AM81" s="57">
        <v>4</v>
      </c>
      <c r="AN81" s="57">
        <v>5</v>
      </c>
      <c r="AO81" s="57">
        <v>13</v>
      </c>
      <c r="AP81" s="57">
        <v>25</v>
      </c>
      <c r="AQ81" s="57">
        <v>44</v>
      </c>
      <c r="AR81" s="57">
        <v>50</v>
      </c>
      <c r="AS81" s="57">
        <v>33</v>
      </c>
      <c r="AT81" s="57">
        <v>17</v>
      </c>
      <c r="AU81" s="57">
        <v>13</v>
      </c>
    </row>
    <row r="82" spans="27:47" ht="15.75" customHeight="1" x14ac:dyDescent="0.2">
      <c r="AA82" s="36" t="s">
        <v>167</v>
      </c>
      <c r="AB82" s="55"/>
      <c r="AC82" s="56"/>
      <c r="AD82" s="57" t="s">
        <v>79</v>
      </c>
      <c r="AE82" s="51">
        <v>300</v>
      </c>
      <c r="AF82" s="51">
        <v>0</v>
      </c>
      <c r="AG82" s="51">
        <v>500</v>
      </c>
      <c r="AH82" s="51">
        <v>2000</v>
      </c>
      <c r="AI82" s="58">
        <v>44.5</v>
      </c>
      <c r="AJ82" s="62">
        <v>0.19</v>
      </c>
      <c r="AK82" s="51">
        <v>7370</v>
      </c>
      <c r="AL82" s="61">
        <v>675</v>
      </c>
      <c r="AM82" s="57">
        <v>3</v>
      </c>
      <c r="AN82" s="57">
        <v>4</v>
      </c>
      <c r="AO82" s="57">
        <v>12</v>
      </c>
      <c r="AP82" s="57">
        <v>24</v>
      </c>
      <c r="AQ82" s="57">
        <v>43</v>
      </c>
      <c r="AR82" s="57">
        <v>50</v>
      </c>
      <c r="AS82" s="57">
        <v>31</v>
      </c>
      <c r="AT82" s="57">
        <v>16</v>
      </c>
      <c r="AU82" s="57">
        <v>11</v>
      </c>
    </row>
    <row r="83" spans="27:47" ht="15.75" customHeight="1" x14ac:dyDescent="0.2">
      <c r="AA83" s="36" t="s">
        <v>168</v>
      </c>
      <c r="AB83" s="55"/>
      <c r="AC83" s="56"/>
      <c r="AD83" s="57" t="s">
        <v>79</v>
      </c>
      <c r="AE83" s="51">
        <v>315</v>
      </c>
      <c r="AF83" s="51">
        <v>0</v>
      </c>
      <c r="AG83" s="51">
        <v>500</v>
      </c>
      <c r="AH83" s="51">
        <v>2000</v>
      </c>
      <c r="AI83" s="58">
        <v>44.8</v>
      </c>
      <c r="AJ83" s="62">
        <v>0.18</v>
      </c>
      <c r="AK83" s="51">
        <v>7735</v>
      </c>
      <c r="AL83" s="61">
        <v>700</v>
      </c>
      <c r="AM83" s="57">
        <v>3</v>
      </c>
      <c r="AN83" s="57">
        <v>4</v>
      </c>
      <c r="AO83" s="57">
        <v>11</v>
      </c>
      <c r="AP83" s="57">
        <v>23</v>
      </c>
      <c r="AQ83" s="57">
        <v>42</v>
      </c>
      <c r="AR83" s="57">
        <v>50</v>
      </c>
      <c r="AS83" s="57">
        <v>29</v>
      </c>
      <c r="AT83" s="57">
        <v>15</v>
      </c>
      <c r="AU83" s="57">
        <v>10</v>
      </c>
    </row>
    <row r="84" spans="27:47" ht="15.75" customHeight="1" x14ac:dyDescent="0.2">
      <c r="AA84" s="36" t="s">
        <v>169</v>
      </c>
      <c r="AB84" s="55"/>
      <c r="AC84" s="56"/>
      <c r="AD84" s="57" t="s">
        <v>79</v>
      </c>
      <c r="AE84" s="51">
        <v>355</v>
      </c>
      <c r="AF84" s="51">
        <v>0</v>
      </c>
      <c r="AG84" s="51">
        <v>560</v>
      </c>
      <c r="AH84" s="51">
        <v>2000</v>
      </c>
      <c r="AI84" s="58">
        <v>51.5</v>
      </c>
      <c r="AJ84" s="62">
        <v>0.15</v>
      </c>
      <c r="AK84" s="51">
        <v>8865</v>
      </c>
      <c r="AL84" s="61">
        <v>900</v>
      </c>
      <c r="AM84" s="57">
        <v>3</v>
      </c>
      <c r="AN84" s="57">
        <v>4</v>
      </c>
      <c r="AO84" s="57">
        <v>10</v>
      </c>
      <c r="AP84" s="57">
        <v>21</v>
      </c>
      <c r="AQ84" s="57">
        <v>41</v>
      </c>
      <c r="AR84" s="57">
        <v>45</v>
      </c>
      <c r="AS84" s="57">
        <v>24</v>
      </c>
      <c r="AT84" s="57">
        <v>14</v>
      </c>
      <c r="AU84" s="57">
        <v>9</v>
      </c>
    </row>
    <row r="85" spans="27:47" ht="15.75" customHeight="1" x14ac:dyDescent="0.2">
      <c r="AA85" s="36" t="s">
        <v>170</v>
      </c>
      <c r="AB85" s="55"/>
      <c r="AC85" s="56"/>
      <c r="AD85" s="57" t="s">
        <v>79</v>
      </c>
      <c r="AE85" s="51">
        <v>400</v>
      </c>
      <c r="AF85" s="51">
        <v>0</v>
      </c>
      <c r="AG85" s="51">
        <v>600</v>
      </c>
      <c r="AH85" s="51">
        <v>2000</v>
      </c>
      <c r="AI85" s="58">
        <v>55.5</v>
      </c>
      <c r="AJ85" s="62">
        <v>0.13</v>
      </c>
      <c r="AK85" s="51">
        <v>9670</v>
      </c>
      <c r="AL85" s="61">
        <v>1100</v>
      </c>
      <c r="AM85" s="57">
        <v>2</v>
      </c>
      <c r="AN85" s="57">
        <v>3</v>
      </c>
      <c r="AO85" s="57">
        <v>9</v>
      </c>
      <c r="AP85" s="57">
        <v>20</v>
      </c>
      <c r="AQ85" s="57">
        <v>41</v>
      </c>
      <c r="AR85" s="57">
        <v>40</v>
      </c>
      <c r="AS85" s="57">
        <v>20</v>
      </c>
      <c r="AT85" s="57">
        <v>13</v>
      </c>
      <c r="AU85" s="57">
        <v>9</v>
      </c>
    </row>
    <row r="86" spans="27:47" ht="15.75" customHeight="1" x14ac:dyDescent="0.2">
      <c r="AA86" s="36" t="s">
        <v>171</v>
      </c>
      <c r="AB86" s="55"/>
      <c r="AC86" s="56"/>
      <c r="AD86" s="57" t="s">
        <v>79</v>
      </c>
      <c r="AE86" s="51">
        <v>450</v>
      </c>
      <c r="AF86" s="51">
        <v>0</v>
      </c>
      <c r="AG86" s="51">
        <v>630</v>
      </c>
      <c r="AH86" s="51">
        <v>2000</v>
      </c>
      <c r="AI86" s="58">
        <v>58.1</v>
      </c>
      <c r="AJ86" s="62">
        <v>0.11</v>
      </c>
      <c r="AK86" s="51">
        <v>11665</v>
      </c>
      <c r="AL86" s="61">
        <v>1360</v>
      </c>
      <c r="AM86" s="57">
        <v>2</v>
      </c>
      <c r="AN86" s="57">
        <v>3</v>
      </c>
      <c r="AO86" s="57">
        <v>8</v>
      </c>
      <c r="AP86" s="57">
        <v>19</v>
      </c>
      <c r="AQ86" s="57">
        <v>40</v>
      </c>
      <c r="AR86" s="57">
        <v>37</v>
      </c>
      <c r="AS86" s="57">
        <v>19</v>
      </c>
      <c r="AT86" s="57">
        <v>11</v>
      </c>
      <c r="AU86" s="57">
        <v>8</v>
      </c>
    </row>
    <row r="87" spans="27:47" ht="15.75" customHeight="1" x14ac:dyDescent="0.2">
      <c r="AA87" s="36" t="s">
        <v>172</v>
      </c>
      <c r="AB87" s="55"/>
      <c r="AC87" s="56"/>
      <c r="AD87" s="57" t="s">
        <v>79</v>
      </c>
      <c r="AE87" s="51">
        <v>500</v>
      </c>
      <c r="AF87" s="51">
        <v>0</v>
      </c>
      <c r="AG87" s="51">
        <v>710</v>
      </c>
      <c r="AH87" s="51">
        <v>2000</v>
      </c>
      <c r="AI87" s="58">
        <v>68.2</v>
      </c>
      <c r="AJ87" s="62">
        <v>0.08</v>
      </c>
      <c r="AK87" s="51">
        <v>13595</v>
      </c>
      <c r="AL87" s="61">
        <v>1505</v>
      </c>
      <c r="AM87" s="57">
        <v>1</v>
      </c>
      <c r="AN87" s="57">
        <v>2</v>
      </c>
      <c r="AO87" s="57">
        <v>7</v>
      </c>
      <c r="AP87" s="57">
        <v>18</v>
      </c>
      <c r="AQ87" s="57">
        <v>39</v>
      </c>
      <c r="AR87" s="57">
        <v>35</v>
      </c>
      <c r="AS87" s="57">
        <v>19</v>
      </c>
      <c r="AT87" s="57">
        <v>9</v>
      </c>
      <c r="AU87" s="57">
        <v>7</v>
      </c>
    </row>
    <row r="88" spans="27:47" ht="15.75" customHeight="1" x14ac:dyDescent="0.2">
      <c r="AA88" s="36" t="s">
        <v>173</v>
      </c>
      <c r="AB88" s="55"/>
      <c r="AC88" s="56"/>
      <c r="AD88" s="57" t="s">
        <v>79</v>
      </c>
      <c r="AE88" s="51">
        <v>560</v>
      </c>
      <c r="AF88" s="51">
        <v>0</v>
      </c>
      <c r="AG88" s="51">
        <v>800</v>
      </c>
      <c r="AH88" s="51">
        <v>2000</v>
      </c>
      <c r="AI88" s="58">
        <v>80.3</v>
      </c>
      <c r="AJ88" s="62">
        <v>0.08</v>
      </c>
      <c r="AK88" s="51">
        <v>16320</v>
      </c>
      <c r="AL88" s="61">
        <v>1580</v>
      </c>
      <c r="AM88" s="57">
        <v>1</v>
      </c>
      <c r="AN88" s="57">
        <v>2</v>
      </c>
      <c r="AO88" s="57">
        <v>7</v>
      </c>
      <c r="AP88" s="57">
        <v>17</v>
      </c>
      <c r="AQ88" s="57">
        <v>38</v>
      </c>
      <c r="AR88" s="57">
        <v>33</v>
      </c>
      <c r="AS88" s="57">
        <v>17</v>
      </c>
      <c r="AT88" s="57">
        <v>9</v>
      </c>
      <c r="AU88" s="57">
        <v>6</v>
      </c>
    </row>
    <row r="89" spans="27:47" ht="15.75" customHeight="1" x14ac:dyDescent="0.2">
      <c r="AA89" s="36" t="s">
        <v>174</v>
      </c>
      <c r="AB89" s="55"/>
      <c r="AC89" s="56"/>
      <c r="AD89" s="57" t="s">
        <v>79</v>
      </c>
      <c r="AE89" s="51">
        <v>600</v>
      </c>
      <c r="AF89" s="51">
        <v>0</v>
      </c>
      <c r="AG89" s="51">
        <v>800</v>
      </c>
      <c r="AH89" s="51">
        <v>2000</v>
      </c>
      <c r="AI89" s="58">
        <v>87.5</v>
      </c>
      <c r="AJ89" s="62">
        <v>0.08</v>
      </c>
      <c r="AK89" s="51">
        <v>17755</v>
      </c>
      <c r="AL89" s="61">
        <v>1625</v>
      </c>
      <c r="AM89" s="57">
        <v>1</v>
      </c>
      <c r="AN89" s="57">
        <v>2</v>
      </c>
      <c r="AO89" s="57">
        <v>6</v>
      </c>
      <c r="AP89" s="57">
        <v>16</v>
      </c>
      <c r="AQ89" s="57">
        <v>37</v>
      </c>
      <c r="AR89" s="57">
        <v>31</v>
      </c>
      <c r="AS89" s="57">
        <v>16</v>
      </c>
      <c r="AT89" s="57">
        <v>8</v>
      </c>
      <c r="AU89" s="57">
        <v>5</v>
      </c>
    </row>
    <row r="90" spans="27:47" ht="15.75" customHeight="1" x14ac:dyDescent="0.2">
      <c r="AA90" s="36" t="s">
        <v>175</v>
      </c>
      <c r="AB90" s="55"/>
      <c r="AC90" s="56"/>
      <c r="AD90" s="57" t="s">
        <v>79</v>
      </c>
      <c r="AE90" s="51">
        <v>630</v>
      </c>
      <c r="AF90" s="51">
        <v>0</v>
      </c>
      <c r="AG90" s="51">
        <v>900</v>
      </c>
      <c r="AH90" s="51">
        <v>2000</v>
      </c>
      <c r="AI90" s="58">
        <v>94.2</v>
      </c>
      <c r="AJ90" s="62">
        <v>0.05</v>
      </c>
      <c r="AK90" s="51">
        <v>18675</v>
      </c>
      <c r="AL90" s="61">
        <v>2070</v>
      </c>
      <c r="AM90" s="57">
        <v>1</v>
      </c>
      <c r="AN90" s="57">
        <v>2</v>
      </c>
      <c r="AO90" s="57">
        <v>6</v>
      </c>
      <c r="AP90" s="57">
        <v>15</v>
      </c>
      <c r="AQ90" s="57">
        <v>36</v>
      </c>
      <c r="AR90" s="57">
        <v>29</v>
      </c>
      <c r="AS90" s="57">
        <v>14</v>
      </c>
      <c r="AT90" s="57">
        <v>8</v>
      </c>
      <c r="AU90" s="57">
        <v>5</v>
      </c>
    </row>
    <row r="91" spans="27:47" ht="15.75" customHeight="1" x14ac:dyDescent="0.2">
      <c r="AA91" s="36" t="s">
        <v>176</v>
      </c>
      <c r="AB91" s="55"/>
      <c r="AC91" s="56"/>
      <c r="AD91" s="57" t="s">
        <v>79</v>
      </c>
      <c r="AE91" s="51">
        <v>710</v>
      </c>
      <c r="AF91" s="51">
        <v>0</v>
      </c>
      <c r="AG91" s="51">
        <v>900</v>
      </c>
      <c r="AH91" s="51">
        <v>2000</v>
      </c>
      <c r="AI91" s="58">
        <v>97.5</v>
      </c>
      <c r="AJ91" s="62">
        <v>0.05</v>
      </c>
      <c r="AK91" s="51">
        <v>21000</v>
      </c>
      <c r="AL91" s="61">
        <v>2185</v>
      </c>
      <c r="AM91" s="57">
        <v>1</v>
      </c>
      <c r="AN91" s="57">
        <v>2</v>
      </c>
      <c r="AO91" s="57">
        <v>6</v>
      </c>
      <c r="AP91" s="57">
        <v>14</v>
      </c>
      <c r="AQ91" s="57">
        <v>34</v>
      </c>
      <c r="AR91" s="57">
        <v>27</v>
      </c>
      <c r="AS91" s="57">
        <v>12</v>
      </c>
      <c r="AT91" s="57">
        <v>7</v>
      </c>
      <c r="AU91" s="57">
        <v>4</v>
      </c>
    </row>
    <row r="92" spans="27:47" ht="15.75" customHeight="1" x14ac:dyDescent="0.2">
      <c r="AA92" s="36" t="s">
        <v>177</v>
      </c>
      <c r="AB92" s="55"/>
      <c r="AC92" s="56"/>
      <c r="AD92" s="57" t="s">
        <v>79</v>
      </c>
      <c r="AE92" s="51">
        <v>800</v>
      </c>
      <c r="AF92" s="51">
        <v>0</v>
      </c>
      <c r="AG92" s="51">
        <v>1000</v>
      </c>
      <c r="AH92" s="51">
        <v>2000</v>
      </c>
      <c r="AI92" s="58">
        <v>117.2</v>
      </c>
      <c r="AJ92" s="62">
        <v>0.05</v>
      </c>
      <c r="AK92" s="51">
        <v>22800</v>
      </c>
      <c r="AL92" s="61">
        <v>2300</v>
      </c>
      <c r="AM92" s="57">
        <v>1</v>
      </c>
      <c r="AN92" s="57">
        <v>2</v>
      </c>
      <c r="AO92" s="57">
        <v>5</v>
      </c>
      <c r="AP92" s="57">
        <v>14</v>
      </c>
      <c r="AQ92" s="57">
        <v>33</v>
      </c>
      <c r="AR92" s="57">
        <v>26</v>
      </c>
      <c r="AS92" s="57">
        <v>10</v>
      </c>
      <c r="AT92" s="57">
        <v>6</v>
      </c>
      <c r="AU92" s="57">
        <v>3</v>
      </c>
    </row>
    <row r="93" spans="27:47" ht="15.75" customHeight="1" x14ac:dyDescent="0.2">
      <c r="AA93" s="36" t="s">
        <v>178</v>
      </c>
      <c r="AB93" s="55"/>
      <c r="AC93" s="56"/>
      <c r="AD93" s="57" t="s">
        <v>79</v>
      </c>
      <c r="AE93" s="51">
        <v>900</v>
      </c>
      <c r="AF93" s="51">
        <v>0</v>
      </c>
      <c r="AG93" s="51">
        <v>1120</v>
      </c>
      <c r="AH93" s="51">
        <v>2000</v>
      </c>
      <c r="AI93" s="58">
        <v>135.1</v>
      </c>
      <c r="AJ93" s="62">
        <v>0.04</v>
      </c>
      <c r="AK93" s="51">
        <v>31085</v>
      </c>
      <c r="AL93" s="61">
        <v>6385</v>
      </c>
      <c r="AM93" s="57">
        <v>0</v>
      </c>
      <c r="AN93" s="57">
        <v>1</v>
      </c>
      <c r="AO93" s="57">
        <v>4</v>
      </c>
      <c r="AP93" s="57">
        <v>10</v>
      </c>
      <c r="AQ93" s="57">
        <v>23</v>
      </c>
      <c r="AR93" s="57">
        <v>18</v>
      </c>
      <c r="AS93" s="57">
        <v>8</v>
      </c>
      <c r="AT93" s="57">
        <v>5</v>
      </c>
      <c r="AU93" s="57">
        <v>3</v>
      </c>
    </row>
    <row r="94" spans="27:47" ht="15.75" customHeight="1" x14ac:dyDescent="0.2">
      <c r="AA94" s="36" t="s">
        <v>179</v>
      </c>
      <c r="AB94" s="55"/>
      <c r="AC94" s="56"/>
      <c r="AD94" s="57" t="s">
        <v>79</v>
      </c>
      <c r="AE94" s="51">
        <v>1000</v>
      </c>
      <c r="AF94" s="51">
        <v>0</v>
      </c>
      <c r="AG94" s="51">
        <v>1250</v>
      </c>
      <c r="AH94" s="51">
        <v>2000</v>
      </c>
      <c r="AI94" s="58">
        <v>156.6</v>
      </c>
      <c r="AJ94" s="62">
        <v>0.04</v>
      </c>
      <c r="AK94" s="51">
        <v>33845</v>
      </c>
      <c r="AL94" s="61">
        <v>9005</v>
      </c>
      <c r="AM94" s="57">
        <v>0</v>
      </c>
      <c r="AN94" s="57">
        <v>1</v>
      </c>
      <c r="AO94" s="57">
        <v>2</v>
      </c>
      <c r="AP94" s="57">
        <v>5</v>
      </c>
      <c r="AQ94" s="57">
        <v>12</v>
      </c>
      <c r="AR94" s="57">
        <v>9</v>
      </c>
      <c r="AS94" s="57">
        <v>4</v>
      </c>
      <c r="AT94" s="57">
        <v>3</v>
      </c>
      <c r="AU94" s="57">
        <v>2</v>
      </c>
    </row>
    <row r="95" spans="27:47" ht="15.75" customHeight="1" x14ac:dyDescent="0.2">
      <c r="AA95" s="47" t="s">
        <v>180</v>
      </c>
      <c r="AB95" s="48"/>
      <c r="AC95" s="49"/>
      <c r="AD95" s="50" t="s">
        <v>84</v>
      </c>
      <c r="AE95" s="34">
        <v>200</v>
      </c>
      <c r="AF95" s="34">
        <v>120</v>
      </c>
      <c r="AG95" s="34">
        <v>400</v>
      </c>
      <c r="AH95" s="34">
        <v>1000</v>
      </c>
      <c r="AI95" s="17">
        <v>25.1</v>
      </c>
      <c r="AJ95" s="65">
        <v>1.46</v>
      </c>
      <c r="AK95" s="34">
        <v>4125</v>
      </c>
      <c r="AL95" s="61">
        <v>485</v>
      </c>
      <c r="AM95" s="50">
        <v>6</v>
      </c>
      <c r="AN95" s="50">
        <v>7</v>
      </c>
      <c r="AO95" s="50">
        <v>12</v>
      </c>
      <c r="AP95" s="50">
        <v>22</v>
      </c>
      <c r="AQ95" s="50">
        <v>40</v>
      </c>
      <c r="AR95" s="50">
        <v>50</v>
      </c>
      <c r="AS95" s="50">
        <v>50</v>
      </c>
      <c r="AT95" s="50">
        <v>50</v>
      </c>
      <c r="AU95" s="50">
        <v>46</v>
      </c>
    </row>
    <row r="96" spans="27:47" ht="15.75" customHeight="1" x14ac:dyDescent="0.2">
      <c r="AA96" s="47" t="s">
        <v>181</v>
      </c>
      <c r="AB96" s="48"/>
      <c r="AC96" s="49"/>
      <c r="AD96" s="50" t="s">
        <v>84</v>
      </c>
      <c r="AE96" s="34">
        <v>224</v>
      </c>
      <c r="AF96" s="34">
        <v>120</v>
      </c>
      <c r="AG96" s="34">
        <v>400</v>
      </c>
      <c r="AH96" s="34">
        <v>1000</v>
      </c>
      <c r="AI96" s="17">
        <v>25.5</v>
      </c>
      <c r="AJ96" s="65">
        <v>0.87</v>
      </c>
      <c r="AK96" s="34">
        <v>4545</v>
      </c>
      <c r="AL96" s="61">
        <v>500</v>
      </c>
      <c r="AM96" s="50">
        <v>5</v>
      </c>
      <c r="AN96" s="50">
        <v>6</v>
      </c>
      <c r="AO96" s="50">
        <v>11</v>
      </c>
      <c r="AP96" s="50">
        <v>19</v>
      </c>
      <c r="AQ96" s="50">
        <v>35</v>
      </c>
      <c r="AR96" s="50">
        <v>48</v>
      </c>
      <c r="AS96" s="50">
        <v>50</v>
      </c>
      <c r="AT96" s="50">
        <v>50</v>
      </c>
      <c r="AU96" s="50">
        <v>41</v>
      </c>
    </row>
    <row r="97" spans="27:47" ht="15.75" customHeight="1" x14ac:dyDescent="0.2">
      <c r="AA97" s="47" t="s">
        <v>182</v>
      </c>
      <c r="AB97" s="48"/>
      <c r="AC97" s="49"/>
      <c r="AD97" s="50" t="s">
        <v>84</v>
      </c>
      <c r="AE97" s="34">
        <v>250</v>
      </c>
      <c r="AF97" s="34">
        <v>120</v>
      </c>
      <c r="AG97" s="34">
        <v>450</v>
      </c>
      <c r="AH97" s="34">
        <v>1000</v>
      </c>
      <c r="AI97" s="17">
        <v>29.2</v>
      </c>
      <c r="AJ97" s="65">
        <v>0.56999999999999995</v>
      </c>
      <c r="AK97" s="34">
        <v>4825</v>
      </c>
      <c r="AL97" s="61">
        <v>625</v>
      </c>
      <c r="AM97" s="50">
        <v>4</v>
      </c>
      <c r="AN97" s="50">
        <v>5</v>
      </c>
      <c r="AO97" s="50">
        <v>10</v>
      </c>
      <c r="AP97" s="50">
        <v>17</v>
      </c>
      <c r="AQ97" s="50">
        <v>30</v>
      </c>
      <c r="AR97" s="50">
        <v>47</v>
      </c>
      <c r="AS97" s="50">
        <v>50</v>
      </c>
      <c r="AT97" s="50">
        <v>50</v>
      </c>
      <c r="AU97" s="50">
        <v>36</v>
      </c>
    </row>
    <row r="98" spans="27:47" ht="15.75" customHeight="1" x14ac:dyDescent="0.2">
      <c r="AA98" s="47" t="s">
        <v>183</v>
      </c>
      <c r="AB98" s="48"/>
      <c r="AC98" s="49"/>
      <c r="AD98" s="50" t="s">
        <v>84</v>
      </c>
      <c r="AE98" s="34">
        <v>280</v>
      </c>
      <c r="AF98" s="34">
        <v>190</v>
      </c>
      <c r="AG98" s="34">
        <v>500</v>
      </c>
      <c r="AH98" s="34">
        <v>1000</v>
      </c>
      <c r="AI98" s="17">
        <v>34.5</v>
      </c>
      <c r="AJ98" s="65">
        <v>2.2799999999999998</v>
      </c>
      <c r="AK98" s="34">
        <v>5340</v>
      </c>
      <c r="AL98" s="61">
        <v>640</v>
      </c>
      <c r="AM98" s="50">
        <v>4</v>
      </c>
      <c r="AN98" s="50">
        <v>5</v>
      </c>
      <c r="AO98" s="50">
        <v>10</v>
      </c>
      <c r="AP98" s="50">
        <v>16</v>
      </c>
      <c r="AQ98" s="50">
        <v>29</v>
      </c>
      <c r="AR98" s="50">
        <v>46</v>
      </c>
      <c r="AS98" s="50">
        <v>48</v>
      </c>
      <c r="AT98" s="50">
        <v>47</v>
      </c>
      <c r="AU98" s="50">
        <v>33</v>
      </c>
    </row>
    <row r="99" spans="27:47" ht="15.75" customHeight="1" x14ac:dyDescent="0.2">
      <c r="AA99" s="47" t="s">
        <v>184</v>
      </c>
      <c r="AB99" s="48"/>
      <c r="AC99" s="49"/>
      <c r="AD99" s="50" t="s">
        <v>84</v>
      </c>
      <c r="AE99" s="34">
        <v>300</v>
      </c>
      <c r="AF99" s="34">
        <v>190</v>
      </c>
      <c r="AG99" s="34">
        <v>500</v>
      </c>
      <c r="AH99" s="34">
        <v>1000</v>
      </c>
      <c r="AI99" s="17">
        <v>34.6</v>
      </c>
      <c r="AJ99" s="65">
        <v>1.53</v>
      </c>
      <c r="AK99" s="34">
        <v>5655</v>
      </c>
      <c r="AL99" s="61">
        <v>675</v>
      </c>
      <c r="AM99" s="50">
        <v>3</v>
      </c>
      <c r="AN99" s="50">
        <v>4</v>
      </c>
      <c r="AO99" s="50">
        <v>9</v>
      </c>
      <c r="AP99" s="50">
        <v>15</v>
      </c>
      <c r="AQ99" s="50">
        <v>28</v>
      </c>
      <c r="AR99" s="50">
        <v>45</v>
      </c>
      <c r="AS99" s="50">
        <v>46</v>
      </c>
      <c r="AT99" s="50">
        <v>44</v>
      </c>
      <c r="AU99" s="50">
        <v>30</v>
      </c>
    </row>
    <row r="100" spans="27:47" ht="15.75" customHeight="1" x14ac:dyDescent="0.2">
      <c r="AA100" s="47" t="s">
        <v>185</v>
      </c>
      <c r="AB100" s="48"/>
      <c r="AC100" s="49"/>
      <c r="AD100" s="50" t="s">
        <v>84</v>
      </c>
      <c r="AE100" s="34">
        <v>315</v>
      </c>
      <c r="AF100" s="34">
        <v>190</v>
      </c>
      <c r="AG100" s="34">
        <v>500</v>
      </c>
      <c r="AH100" s="34">
        <v>1000</v>
      </c>
      <c r="AI100" s="17">
        <v>34.799999999999997</v>
      </c>
      <c r="AJ100" s="65">
        <v>1.4</v>
      </c>
      <c r="AK100" s="34">
        <v>5885</v>
      </c>
      <c r="AL100" s="61">
        <v>700</v>
      </c>
      <c r="AM100" s="50">
        <v>3</v>
      </c>
      <c r="AN100" s="50">
        <v>4</v>
      </c>
      <c r="AO100" s="50">
        <v>9</v>
      </c>
      <c r="AP100" s="50">
        <v>15</v>
      </c>
      <c r="AQ100" s="50">
        <v>27</v>
      </c>
      <c r="AR100" s="50">
        <v>44</v>
      </c>
      <c r="AS100" s="50">
        <v>45</v>
      </c>
      <c r="AT100" s="50">
        <v>39</v>
      </c>
      <c r="AU100" s="50">
        <v>27</v>
      </c>
    </row>
    <row r="101" spans="27:47" ht="15.75" customHeight="1" x14ac:dyDescent="0.2">
      <c r="AA101" s="47" t="s">
        <v>186</v>
      </c>
      <c r="AB101" s="48"/>
      <c r="AC101" s="49"/>
      <c r="AD101" s="50" t="s">
        <v>84</v>
      </c>
      <c r="AE101" s="34">
        <v>355</v>
      </c>
      <c r="AF101" s="34">
        <v>240</v>
      </c>
      <c r="AG101" s="34">
        <v>560</v>
      </c>
      <c r="AH101" s="34">
        <v>1000</v>
      </c>
      <c r="AI101" s="17">
        <v>39.5</v>
      </c>
      <c r="AJ101" s="65">
        <v>2.44</v>
      </c>
      <c r="AK101" s="34">
        <v>6755</v>
      </c>
      <c r="AL101" s="61">
        <v>900</v>
      </c>
      <c r="AM101" s="50">
        <v>3</v>
      </c>
      <c r="AN101" s="50">
        <v>4</v>
      </c>
      <c r="AO101" s="50">
        <v>8</v>
      </c>
      <c r="AP101" s="50">
        <v>14</v>
      </c>
      <c r="AQ101" s="50">
        <v>26</v>
      </c>
      <c r="AR101" s="50">
        <v>43</v>
      </c>
      <c r="AS101" s="50">
        <v>42</v>
      </c>
      <c r="AT101" s="50">
        <v>34</v>
      </c>
      <c r="AU101" s="50">
        <v>24</v>
      </c>
    </row>
    <row r="102" spans="27:47" ht="15.75" customHeight="1" x14ac:dyDescent="0.2">
      <c r="AA102" s="47" t="s">
        <v>187</v>
      </c>
      <c r="AB102" s="48"/>
      <c r="AC102" s="49"/>
      <c r="AD102" s="50" t="s">
        <v>84</v>
      </c>
      <c r="AE102" s="34">
        <v>400</v>
      </c>
      <c r="AF102" s="34">
        <v>240</v>
      </c>
      <c r="AG102" s="34">
        <v>600</v>
      </c>
      <c r="AH102" s="34">
        <v>1000</v>
      </c>
      <c r="AI102" s="17">
        <v>43.5</v>
      </c>
      <c r="AJ102" s="65">
        <v>1.1200000000000001</v>
      </c>
      <c r="AK102" s="34">
        <v>7370</v>
      </c>
      <c r="AL102" s="61">
        <v>1100</v>
      </c>
      <c r="AM102" s="50">
        <v>3</v>
      </c>
      <c r="AN102" s="50">
        <v>3</v>
      </c>
      <c r="AO102" s="50">
        <v>7</v>
      </c>
      <c r="AP102" s="50">
        <v>13</v>
      </c>
      <c r="AQ102" s="50">
        <v>25</v>
      </c>
      <c r="AR102" s="50">
        <v>40</v>
      </c>
      <c r="AS102" s="50">
        <v>38</v>
      </c>
      <c r="AT102" s="50">
        <v>29</v>
      </c>
      <c r="AU102" s="50">
        <v>21</v>
      </c>
    </row>
    <row r="103" spans="27:47" ht="15.75" customHeight="1" x14ac:dyDescent="0.2">
      <c r="AA103" s="47" t="s">
        <v>188</v>
      </c>
      <c r="AB103" s="48"/>
      <c r="AC103" s="49"/>
      <c r="AD103" s="50" t="s">
        <v>84</v>
      </c>
      <c r="AE103" s="34">
        <v>450</v>
      </c>
      <c r="AF103" s="34">
        <v>290</v>
      </c>
      <c r="AG103" s="34">
        <v>630</v>
      </c>
      <c r="AH103" s="34">
        <v>1000</v>
      </c>
      <c r="AI103" s="17">
        <v>47</v>
      </c>
      <c r="AJ103" s="65">
        <v>1.51</v>
      </c>
      <c r="AK103" s="34">
        <v>9320</v>
      </c>
      <c r="AL103" s="61">
        <v>1360</v>
      </c>
      <c r="AM103" s="50">
        <v>2</v>
      </c>
      <c r="AN103" s="50">
        <v>3</v>
      </c>
      <c r="AO103" s="50">
        <v>7</v>
      </c>
      <c r="AP103" s="50">
        <v>12</v>
      </c>
      <c r="AQ103" s="50">
        <v>24</v>
      </c>
      <c r="AR103" s="50">
        <v>39</v>
      </c>
      <c r="AS103" s="50">
        <v>35</v>
      </c>
      <c r="AT103" s="50">
        <v>26</v>
      </c>
      <c r="AU103" s="50">
        <v>18</v>
      </c>
    </row>
    <row r="104" spans="27:47" ht="15.75" customHeight="1" x14ac:dyDescent="0.2">
      <c r="AA104" s="47" t="s">
        <v>189</v>
      </c>
      <c r="AB104" s="48"/>
      <c r="AC104" s="49"/>
      <c r="AD104" s="50" t="s">
        <v>84</v>
      </c>
      <c r="AE104" s="34">
        <v>500</v>
      </c>
      <c r="AF104" s="34">
        <v>290</v>
      </c>
      <c r="AG104" s="34">
        <v>710</v>
      </c>
      <c r="AH104" s="34">
        <v>1000</v>
      </c>
      <c r="AI104" s="17">
        <v>55.1</v>
      </c>
      <c r="AJ104" s="65">
        <v>0.96</v>
      </c>
      <c r="AK104" s="34">
        <v>10855</v>
      </c>
      <c r="AL104" s="61">
        <v>1505</v>
      </c>
      <c r="AM104" s="50">
        <v>1</v>
      </c>
      <c r="AN104" s="50">
        <v>2</v>
      </c>
      <c r="AO104" s="50">
        <v>6</v>
      </c>
      <c r="AP104" s="50">
        <v>12</v>
      </c>
      <c r="AQ104" s="50">
        <v>23</v>
      </c>
      <c r="AR104" s="50">
        <v>38</v>
      </c>
      <c r="AS104" s="50">
        <v>33</v>
      </c>
      <c r="AT104" s="50">
        <v>24</v>
      </c>
      <c r="AU104" s="50">
        <v>17</v>
      </c>
    </row>
    <row r="105" spans="27:47" ht="15.75" customHeight="1" x14ac:dyDescent="0.2">
      <c r="AA105" s="47" t="s">
        <v>190</v>
      </c>
      <c r="AB105" s="48"/>
      <c r="AC105" s="49"/>
      <c r="AD105" s="50" t="s">
        <v>84</v>
      </c>
      <c r="AE105" s="34">
        <v>560</v>
      </c>
      <c r="AF105" s="34">
        <v>390</v>
      </c>
      <c r="AG105" s="34">
        <v>800</v>
      </c>
      <c r="AH105" s="34">
        <v>1000</v>
      </c>
      <c r="AI105" s="17">
        <v>66.099999999999994</v>
      </c>
      <c r="AJ105" s="65">
        <v>2.42</v>
      </c>
      <c r="AK105" s="34">
        <v>13640</v>
      </c>
      <c r="AL105" s="61">
        <v>1580</v>
      </c>
      <c r="AM105" s="50">
        <v>1</v>
      </c>
      <c r="AN105" s="50">
        <v>2</v>
      </c>
      <c r="AO105" s="50">
        <v>6</v>
      </c>
      <c r="AP105" s="50">
        <v>11</v>
      </c>
      <c r="AQ105" s="50">
        <v>22</v>
      </c>
      <c r="AR105" s="50">
        <v>36</v>
      </c>
      <c r="AS105" s="50">
        <v>31</v>
      </c>
      <c r="AT105" s="50">
        <v>21</v>
      </c>
      <c r="AU105" s="50">
        <v>15</v>
      </c>
    </row>
    <row r="106" spans="27:47" ht="15.75" customHeight="1" x14ac:dyDescent="0.2">
      <c r="AA106" s="47" t="s">
        <v>191</v>
      </c>
      <c r="AB106" s="48"/>
      <c r="AC106" s="49"/>
      <c r="AD106" s="50" t="s">
        <v>84</v>
      </c>
      <c r="AE106" s="34">
        <v>600</v>
      </c>
      <c r="AF106" s="34">
        <v>390</v>
      </c>
      <c r="AG106" s="34">
        <v>800</v>
      </c>
      <c r="AH106" s="34">
        <v>1000</v>
      </c>
      <c r="AI106" s="17">
        <v>64.5</v>
      </c>
      <c r="AJ106" s="65">
        <v>1.45</v>
      </c>
      <c r="AK106" s="34">
        <v>14405</v>
      </c>
      <c r="AL106" s="61">
        <v>1625</v>
      </c>
      <c r="AM106" s="50">
        <v>1</v>
      </c>
      <c r="AN106" s="50">
        <v>2</v>
      </c>
      <c r="AO106" s="50">
        <v>5</v>
      </c>
      <c r="AP106" s="50">
        <v>11</v>
      </c>
      <c r="AQ106" s="50">
        <v>21</v>
      </c>
      <c r="AR106" s="50">
        <v>35</v>
      </c>
      <c r="AS106" s="50">
        <v>30</v>
      </c>
      <c r="AT106" s="50">
        <v>20</v>
      </c>
      <c r="AU106" s="50">
        <v>14</v>
      </c>
    </row>
    <row r="107" spans="27:47" ht="15.75" customHeight="1" x14ac:dyDescent="0.2">
      <c r="AA107" s="47" t="s">
        <v>192</v>
      </c>
      <c r="AB107" s="48"/>
      <c r="AC107" s="49"/>
      <c r="AD107" s="50" t="s">
        <v>84</v>
      </c>
      <c r="AE107" s="34">
        <v>630</v>
      </c>
      <c r="AF107" s="34">
        <v>390</v>
      </c>
      <c r="AG107" s="34">
        <v>900</v>
      </c>
      <c r="AH107" s="34">
        <v>1000</v>
      </c>
      <c r="AI107" s="17">
        <v>75</v>
      </c>
      <c r="AJ107" s="65">
        <v>1.45</v>
      </c>
      <c r="AK107" s="34">
        <v>15030</v>
      </c>
      <c r="AL107" s="61">
        <v>2070</v>
      </c>
      <c r="AM107" s="50">
        <v>1</v>
      </c>
      <c r="AN107" s="50">
        <v>2</v>
      </c>
      <c r="AO107" s="50">
        <v>5</v>
      </c>
      <c r="AP107" s="50">
        <v>11</v>
      </c>
      <c r="AQ107" s="50">
        <v>21</v>
      </c>
      <c r="AR107" s="50">
        <v>34</v>
      </c>
      <c r="AS107" s="50">
        <v>29</v>
      </c>
      <c r="AT107" s="50">
        <v>19</v>
      </c>
      <c r="AU107" s="50">
        <v>13</v>
      </c>
    </row>
    <row r="108" spans="27:47" ht="15.75" customHeight="1" x14ac:dyDescent="0.2">
      <c r="AA108" s="47" t="s">
        <v>193</v>
      </c>
      <c r="AB108" s="48"/>
      <c r="AC108" s="49"/>
      <c r="AD108" s="50" t="s">
        <v>84</v>
      </c>
      <c r="AE108" s="34">
        <v>710</v>
      </c>
      <c r="AF108" s="34">
        <v>390</v>
      </c>
      <c r="AG108" s="34">
        <v>900</v>
      </c>
      <c r="AH108" s="34">
        <v>1000</v>
      </c>
      <c r="AI108" s="17">
        <v>81.5</v>
      </c>
      <c r="AJ108" s="65">
        <v>0.52</v>
      </c>
      <c r="AK108" s="34">
        <v>17150</v>
      </c>
      <c r="AL108" s="61">
        <v>2185</v>
      </c>
      <c r="AM108" s="50">
        <v>1</v>
      </c>
      <c r="AN108" s="50">
        <v>2</v>
      </c>
      <c r="AO108" s="50">
        <v>4</v>
      </c>
      <c r="AP108" s="50">
        <v>10</v>
      </c>
      <c r="AQ108" s="50">
        <v>20</v>
      </c>
      <c r="AR108" s="50">
        <v>30</v>
      </c>
      <c r="AS108" s="50">
        <v>22</v>
      </c>
      <c r="AT108" s="50">
        <v>14</v>
      </c>
      <c r="AU108" s="50">
        <v>10</v>
      </c>
    </row>
    <row r="109" spans="27:47" ht="15.75" customHeight="1" x14ac:dyDescent="0.2">
      <c r="AA109" s="47" t="s">
        <v>194</v>
      </c>
      <c r="AB109" s="48"/>
      <c r="AC109" s="49"/>
      <c r="AD109" s="50" t="s">
        <v>84</v>
      </c>
      <c r="AE109" s="34">
        <v>800</v>
      </c>
      <c r="AF109" s="34">
        <v>490</v>
      </c>
      <c r="AG109" s="34">
        <v>1000</v>
      </c>
      <c r="AH109" s="34">
        <v>1000</v>
      </c>
      <c r="AI109" s="17">
        <v>94.5</v>
      </c>
      <c r="AJ109" s="65">
        <v>1.1299999999999999</v>
      </c>
      <c r="AK109" s="34">
        <v>18760</v>
      </c>
      <c r="AL109" s="61">
        <v>2300</v>
      </c>
      <c r="AM109" s="50">
        <v>1</v>
      </c>
      <c r="AN109" s="50">
        <v>2</v>
      </c>
      <c r="AO109" s="50">
        <v>2</v>
      </c>
      <c r="AP109" s="50">
        <v>8</v>
      </c>
      <c r="AQ109" s="50">
        <v>15</v>
      </c>
      <c r="AR109" s="50">
        <v>24</v>
      </c>
      <c r="AS109" s="50">
        <v>18</v>
      </c>
      <c r="AT109" s="50">
        <v>10</v>
      </c>
      <c r="AU109" s="50">
        <v>8</v>
      </c>
    </row>
    <row r="110" spans="27:47" ht="15.75" customHeight="1" x14ac:dyDescent="0.2">
      <c r="AA110" s="47" t="s">
        <v>195</v>
      </c>
      <c r="AB110" s="48"/>
      <c r="AC110" s="49"/>
      <c r="AD110" s="50" t="s">
        <v>84</v>
      </c>
      <c r="AE110" s="34">
        <v>900</v>
      </c>
      <c r="AF110" s="34">
        <v>590</v>
      </c>
      <c r="AG110" s="34">
        <v>1120</v>
      </c>
      <c r="AH110" s="34">
        <v>1000</v>
      </c>
      <c r="AI110" s="17">
        <v>109.5</v>
      </c>
      <c r="AJ110" s="65">
        <v>1.21</v>
      </c>
      <c r="AK110" s="34">
        <v>25990</v>
      </c>
      <c r="AL110" s="61">
        <v>6385</v>
      </c>
      <c r="AM110" s="50">
        <v>1</v>
      </c>
      <c r="AN110" s="50">
        <v>1</v>
      </c>
      <c r="AO110" s="50">
        <v>2</v>
      </c>
      <c r="AP110" s="50">
        <v>7</v>
      </c>
      <c r="AQ110" s="50">
        <v>12</v>
      </c>
      <c r="AR110" s="50">
        <v>20</v>
      </c>
      <c r="AS110" s="50">
        <v>15</v>
      </c>
      <c r="AT110" s="50">
        <v>8</v>
      </c>
      <c r="AU110" s="50">
        <v>6</v>
      </c>
    </row>
    <row r="111" spans="27:47" ht="15.75" customHeight="1" x14ac:dyDescent="0.2">
      <c r="AA111" s="47" t="s">
        <v>196</v>
      </c>
      <c r="AB111" s="48"/>
      <c r="AC111" s="49"/>
      <c r="AD111" s="50" t="s">
        <v>84</v>
      </c>
      <c r="AE111" s="34">
        <v>1000</v>
      </c>
      <c r="AF111" s="34">
        <v>690</v>
      </c>
      <c r="AG111" s="34">
        <v>1250</v>
      </c>
      <c r="AH111" s="34">
        <v>1000</v>
      </c>
      <c r="AI111" s="17">
        <v>125.5</v>
      </c>
      <c r="AJ111" s="65">
        <v>2.14</v>
      </c>
      <c r="AK111" s="34">
        <v>30235</v>
      </c>
      <c r="AL111" s="61">
        <v>9005</v>
      </c>
      <c r="AM111" s="50">
        <v>1</v>
      </c>
      <c r="AN111" s="50">
        <v>1</v>
      </c>
      <c r="AO111" s="50">
        <v>1</v>
      </c>
      <c r="AP111" s="50">
        <v>6</v>
      </c>
      <c r="AQ111" s="50">
        <v>10</v>
      </c>
      <c r="AR111" s="50">
        <v>15</v>
      </c>
      <c r="AS111" s="50">
        <v>10</v>
      </c>
      <c r="AT111" s="50">
        <v>6</v>
      </c>
      <c r="AU111" s="50">
        <v>4</v>
      </c>
    </row>
    <row r="112" spans="27:47" ht="15.75" customHeight="1" x14ac:dyDescent="0.2">
      <c r="AA112" s="36" t="s">
        <v>197</v>
      </c>
      <c r="AB112" s="55"/>
      <c r="AC112" s="56"/>
      <c r="AD112" s="57" t="s">
        <v>84</v>
      </c>
      <c r="AE112" s="51">
        <v>200</v>
      </c>
      <c r="AF112" s="34">
        <v>120</v>
      </c>
      <c r="AG112" s="51">
        <v>400</v>
      </c>
      <c r="AH112" s="51">
        <v>1500</v>
      </c>
      <c r="AI112" s="58">
        <v>35.5</v>
      </c>
      <c r="AJ112" s="62">
        <v>2.0099999999999998</v>
      </c>
      <c r="AK112" s="51">
        <v>5400</v>
      </c>
      <c r="AL112" s="61">
        <v>485</v>
      </c>
      <c r="AM112" s="57">
        <v>8</v>
      </c>
      <c r="AN112" s="57">
        <v>9</v>
      </c>
      <c r="AO112" s="57">
        <v>16</v>
      </c>
      <c r="AP112" s="57">
        <v>26</v>
      </c>
      <c r="AQ112" s="57">
        <v>45</v>
      </c>
      <c r="AR112" s="57">
        <v>50</v>
      </c>
      <c r="AS112" s="57">
        <v>50</v>
      </c>
      <c r="AT112" s="57">
        <v>50</v>
      </c>
      <c r="AU112" s="57">
        <v>50</v>
      </c>
    </row>
    <row r="113" spans="27:47" ht="15.75" customHeight="1" x14ac:dyDescent="0.2">
      <c r="AA113" s="36" t="s">
        <v>198</v>
      </c>
      <c r="AB113" s="55"/>
      <c r="AC113" s="56"/>
      <c r="AD113" s="57" t="s">
        <v>84</v>
      </c>
      <c r="AE113" s="51">
        <v>224</v>
      </c>
      <c r="AF113" s="34">
        <v>120</v>
      </c>
      <c r="AG113" s="51">
        <v>400</v>
      </c>
      <c r="AH113" s="51">
        <v>1500</v>
      </c>
      <c r="AI113" s="58">
        <v>35.799999999999997</v>
      </c>
      <c r="AJ113" s="62">
        <v>1.36</v>
      </c>
      <c r="AK113" s="51">
        <v>5830</v>
      </c>
      <c r="AL113" s="61">
        <v>500</v>
      </c>
      <c r="AM113" s="57">
        <v>7</v>
      </c>
      <c r="AN113" s="57">
        <v>8</v>
      </c>
      <c r="AO113" s="57">
        <v>15</v>
      </c>
      <c r="AP113" s="57">
        <v>24</v>
      </c>
      <c r="AQ113" s="57">
        <v>42</v>
      </c>
      <c r="AR113" s="57">
        <v>50</v>
      </c>
      <c r="AS113" s="57">
        <v>50</v>
      </c>
      <c r="AT113" s="57">
        <v>50</v>
      </c>
      <c r="AU113" s="57">
        <v>47</v>
      </c>
    </row>
    <row r="114" spans="27:47" ht="15.75" customHeight="1" x14ac:dyDescent="0.2">
      <c r="AA114" s="36" t="s">
        <v>199</v>
      </c>
      <c r="AB114" s="55"/>
      <c r="AC114" s="56"/>
      <c r="AD114" s="57" t="s">
        <v>84</v>
      </c>
      <c r="AE114" s="51">
        <v>250</v>
      </c>
      <c r="AF114" s="34">
        <v>120</v>
      </c>
      <c r="AG114" s="51">
        <v>450</v>
      </c>
      <c r="AH114" s="51">
        <v>1500</v>
      </c>
      <c r="AI114" s="58">
        <v>40.5</v>
      </c>
      <c r="AJ114" s="62">
        <v>0.83</v>
      </c>
      <c r="AK114" s="51">
        <v>6215</v>
      </c>
      <c r="AL114" s="61">
        <v>625</v>
      </c>
      <c r="AM114" s="57">
        <v>6</v>
      </c>
      <c r="AN114" s="57">
        <v>7</v>
      </c>
      <c r="AO114" s="57">
        <v>14</v>
      </c>
      <c r="AP114" s="57">
        <v>22</v>
      </c>
      <c r="AQ114" s="57">
        <v>41</v>
      </c>
      <c r="AR114" s="57">
        <v>50</v>
      </c>
      <c r="AS114" s="57">
        <v>50</v>
      </c>
      <c r="AT114" s="57">
        <v>50</v>
      </c>
      <c r="AU114" s="57">
        <v>44</v>
      </c>
    </row>
    <row r="115" spans="27:47" ht="15.75" customHeight="1" x14ac:dyDescent="0.2">
      <c r="AA115" s="36" t="s">
        <v>200</v>
      </c>
      <c r="AB115" s="55"/>
      <c r="AC115" s="56"/>
      <c r="AD115" s="57" t="s">
        <v>84</v>
      </c>
      <c r="AE115" s="51">
        <v>280</v>
      </c>
      <c r="AF115" s="34">
        <v>190</v>
      </c>
      <c r="AG115" s="51">
        <v>500</v>
      </c>
      <c r="AH115" s="51">
        <v>1500</v>
      </c>
      <c r="AI115" s="58">
        <v>48.5</v>
      </c>
      <c r="AJ115" s="62">
        <v>2.78</v>
      </c>
      <c r="AK115" s="51">
        <v>6940</v>
      </c>
      <c r="AL115" s="61">
        <v>640</v>
      </c>
      <c r="AM115" s="57">
        <v>6</v>
      </c>
      <c r="AN115" s="57">
        <v>7</v>
      </c>
      <c r="AO115" s="57">
        <v>14</v>
      </c>
      <c r="AP115" s="57">
        <v>21</v>
      </c>
      <c r="AQ115" s="57">
        <v>39</v>
      </c>
      <c r="AR115" s="57">
        <v>50</v>
      </c>
      <c r="AS115" s="57">
        <v>50</v>
      </c>
      <c r="AT115" s="57">
        <v>50</v>
      </c>
      <c r="AU115" s="57">
        <v>40</v>
      </c>
    </row>
    <row r="116" spans="27:47" ht="15.75" customHeight="1" x14ac:dyDescent="0.2">
      <c r="AA116" s="36" t="s">
        <v>201</v>
      </c>
      <c r="AB116" s="55"/>
      <c r="AC116" s="56"/>
      <c r="AD116" s="57" t="s">
        <v>84</v>
      </c>
      <c r="AE116" s="51">
        <v>300</v>
      </c>
      <c r="AF116" s="34">
        <v>190</v>
      </c>
      <c r="AG116" s="51">
        <v>500</v>
      </c>
      <c r="AH116" s="51">
        <v>1500</v>
      </c>
      <c r="AI116" s="58">
        <v>48.6</v>
      </c>
      <c r="AJ116" s="62">
        <v>1.75</v>
      </c>
      <c r="AK116" s="51">
        <v>7250</v>
      </c>
      <c r="AL116" s="61">
        <v>675</v>
      </c>
      <c r="AM116" s="57">
        <v>6</v>
      </c>
      <c r="AN116" s="57">
        <v>7</v>
      </c>
      <c r="AO116" s="57">
        <v>13</v>
      </c>
      <c r="AP116" s="57">
        <v>20</v>
      </c>
      <c r="AQ116" s="57">
        <v>38</v>
      </c>
      <c r="AR116" s="57">
        <v>50</v>
      </c>
      <c r="AS116" s="57">
        <v>50</v>
      </c>
      <c r="AT116" s="57">
        <v>50</v>
      </c>
      <c r="AU116" s="57">
        <v>37</v>
      </c>
    </row>
    <row r="117" spans="27:47" ht="15.75" customHeight="1" x14ac:dyDescent="0.2">
      <c r="AA117" s="36" t="s">
        <v>202</v>
      </c>
      <c r="AB117" s="55"/>
      <c r="AC117" s="56"/>
      <c r="AD117" s="57" t="s">
        <v>84</v>
      </c>
      <c r="AE117" s="51">
        <v>315</v>
      </c>
      <c r="AF117" s="34">
        <v>190</v>
      </c>
      <c r="AG117" s="51">
        <v>500</v>
      </c>
      <c r="AH117" s="51">
        <v>1500</v>
      </c>
      <c r="AI117" s="58">
        <v>48.8</v>
      </c>
      <c r="AJ117" s="62">
        <v>1.49</v>
      </c>
      <c r="AK117" s="51">
        <v>7655</v>
      </c>
      <c r="AL117" s="61">
        <v>700</v>
      </c>
      <c r="AM117" s="57">
        <v>6</v>
      </c>
      <c r="AN117" s="57">
        <v>7</v>
      </c>
      <c r="AO117" s="57">
        <v>12</v>
      </c>
      <c r="AP117" s="57">
        <v>20</v>
      </c>
      <c r="AQ117" s="57">
        <v>37</v>
      </c>
      <c r="AR117" s="57">
        <v>50</v>
      </c>
      <c r="AS117" s="57">
        <v>50</v>
      </c>
      <c r="AT117" s="57">
        <v>50</v>
      </c>
      <c r="AU117" s="57">
        <v>34</v>
      </c>
    </row>
    <row r="118" spans="27:47" ht="15.75" customHeight="1" x14ac:dyDescent="0.2">
      <c r="AA118" s="36" t="s">
        <v>203</v>
      </c>
      <c r="AB118" s="55"/>
      <c r="AC118" s="56"/>
      <c r="AD118" s="57" t="s">
        <v>84</v>
      </c>
      <c r="AE118" s="51">
        <v>355</v>
      </c>
      <c r="AF118" s="34">
        <v>240</v>
      </c>
      <c r="AG118" s="51">
        <v>560</v>
      </c>
      <c r="AH118" s="51">
        <v>1500</v>
      </c>
      <c r="AI118" s="58">
        <v>55</v>
      </c>
      <c r="AJ118" s="62">
        <v>2.74</v>
      </c>
      <c r="AK118" s="51">
        <v>8735</v>
      </c>
      <c r="AL118" s="61">
        <v>900</v>
      </c>
      <c r="AM118" s="57">
        <v>5</v>
      </c>
      <c r="AN118" s="57">
        <v>6</v>
      </c>
      <c r="AO118" s="57">
        <v>11</v>
      </c>
      <c r="AP118" s="57">
        <v>18</v>
      </c>
      <c r="AQ118" s="57">
        <v>34</v>
      </c>
      <c r="AR118" s="57">
        <v>50</v>
      </c>
      <c r="AS118" s="57">
        <v>50</v>
      </c>
      <c r="AT118" s="57">
        <v>45</v>
      </c>
      <c r="AU118" s="57">
        <v>30</v>
      </c>
    </row>
    <row r="119" spans="27:47" ht="15.75" customHeight="1" x14ac:dyDescent="0.2">
      <c r="AA119" s="36" t="s">
        <v>204</v>
      </c>
      <c r="AB119" s="55"/>
      <c r="AC119" s="56"/>
      <c r="AD119" s="57" t="s">
        <v>84</v>
      </c>
      <c r="AE119" s="51">
        <v>400</v>
      </c>
      <c r="AF119" s="34">
        <v>240</v>
      </c>
      <c r="AG119" s="51">
        <v>600</v>
      </c>
      <c r="AH119" s="51">
        <v>1500</v>
      </c>
      <c r="AI119" s="58">
        <v>61.1</v>
      </c>
      <c r="AJ119" s="62">
        <v>1.21</v>
      </c>
      <c r="AK119" s="51">
        <v>9590</v>
      </c>
      <c r="AL119" s="61">
        <v>1100</v>
      </c>
      <c r="AM119" s="57">
        <v>5</v>
      </c>
      <c r="AN119" s="57">
        <v>6</v>
      </c>
      <c r="AO119" s="57">
        <v>10</v>
      </c>
      <c r="AP119" s="57">
        <v>17</v>
      </c>
      <c r="AQ119" s="57">
        <v>33</v>
      </c>
      <c r="AR119" s="57">
        <v>50</v>
      </c>
      <c r="AS119" s="57">
        <v>50</v>
      </c>
      <c r="AT119" s="57">
        <v>40</v>
      </c>
      <c r="AU119" s="57">
        <v>26</v>
      </c>
    </row>
    <row r="120" spans="27:47" ht="15.75" customHeight="1" x14ac:dyDescent="0.2">
      <c r="AA120" s="36" t="s">
        <v>205</v>
      </c>
      <c r="AB120" s="55"/>
      <c r="AC120" s="56"/>
      <c r="AD120" s="57" t="s">
        <v>84</v>
      </c>
      <c r="AE120" s="51">
        <v>450</v>
      </c>
      <c r="AF120" s="34">
        <v>290</v>
      </c>
      <c r="AG120" s="51">
        <v>630</v>
      </c>
      <c r="AH120" s="51">
        <v>1500</v>
      </c>
      <c r="AI120" s="58">
        <v>66.3</v>
      </c>
      <c r="AJ120" s="62">
        <v>1.83</v>
      </c>
      <c r="AK120" s="51">
        <v>11665</v>
      </c>
      <c r="AL120" s="61">
        <v>1360</v>
      </c>
      <c r="AM120" s="57">
        <v>4</v>
      </c>
      <c r="AN120" s="57">
        <v>5</v>
      </c>
      <c r="AO120" s="57">
        <v>9</v>
      </c>
      <c r="AP120" s="57">
        <v>16</v>
      </c>
      <c r="AQ120" s="57">
        <v>31</v>
      </c>
      <c r="AR120" s="57">
        <v>50</v>
      </c>
      <c r="AS120" s="57">
        <v>50</v>
      </c>
      <c r="AT120" s="57">
        <v>36</v>
      </c>
      <c r="AU120" s="57">
        <v>23</v>
      </c>
    </row>
    <row r="121" spans="27:47" ht="15.75" customHeight="1" x14ac:dyDescent="0.2">
      <c r="AA121" s="36" t="s">
        <v>206</v>
      </c>
      <c r="AB121" s="55"/>
      <c r="AC121" s="56"/>
      <c r="AD121" s="57" t="s">
        <v>84</v>
      </c>
      <c r="AE121" s="51">
        <v>500</v>
      </c>
      <c r="AF121" s="34">
        <v>290</v>
      </c>
      <c r="AG121" s="51">
        <v>710</v>
      </c>
      <c r="AH121" s="51">
        <v>1500</v>
      </c>
      <c r="AI121" s="58">
        <v>76.2</v>
      </c>
      <c r="AJ121" s="62">
        <v>1.22</v>
      </c>
      <c r="AK121" s="51">
        <v>13535</v>
      </c>
      <c r="AL121" s="61">
        <v>1505</v>
      </c>
      <c r="AM121" s="57">
        <v>4</v>
      </c>
      <c r="AN121" s="57">
        <v>5</v>
      </c>
      <c r="AO121" s="57">
        <v>9</v>
      </c>
      <c r="AP121" s="57">
        <v>16</v>
      </c>
      <c r="AQ121" s="57">
        <v>30</v>
      </c>
      <c r="AR121" s="57">
        <v>50</v>
      </c>
      <c r="AS121" s="57">
        <v>50</v>
      </c>
      <c r="AT121" s="57">
        <v>33</v>
      </c>
      <c r="AU121" s="57">
        <v>21</v>
      </c>
    </row>
    <row r="122" spans="27:47" ht="15.75" customHeight="1" x14ac:dyDescent="0.2">
      <c r="AA122" s="36" t="s">
        <v>207</v>
      </c>
      <c r="AB122" s="55"/>
      <c r="AC122" s="56"/>
      <c r="AD122" s="57" t="s">
        <v>84</v>
      </c>
      <c r="AE122" s="51">
        <v>560</v>
      </c>
      <c r="AF122" s="34">
        <v>390</v>
      </c>
      <c r="AG122" s="51">
        <v>800</v>
      </c>
      <c r="AH122" s="51">
        <v>1500</v>
      </c>
      <c r="AI122" s="58">
        <v>93.5</v>
      </c>
      <c r="AJ122" s="62">
        <v>2.71</v>
      </c>
      <c r="AK122" s="51">
        <v>16320</v>
      </c>
      <c r="AL122" s="61">
        <v>1580</v>
      </c>
      <c r="AM122" s="57">
        <v>3</v>
      </c>
      <c r="AN122" s="57">
        <v>4</v>
      </c>
      <c r="AO122" s="57">
        <v>8</v>
      </c>
      <c r="AP122" s="57">
        <v>15</v>
      </c>
      <c r="AQ122" s="57">
        <v>30</v>
      </c>
      <c r="AR122" s="57">
        <v>50</v>
      </c>
      <c r="AS122" s="57">
        <v>48</v>
      </c>
      <c r="AT122" s="57">
        <v>29</v>
      </c>
      <c r="AU122" s="57">
        <v>19</v>
      </c>
    </row>
    <row r="123" spans="27:47" ht="15.75" customHeight="1" x14ac:dyDescent="0.2">
      <c r="AA123" s="36" t="s">
        <v>208</v>
      </c>
      <c r="AB123" s="55"/>
      <c r="AC123" s="56"/>
      <c r="AD123" s="57" t="s">
        <v>84</v>
      </c>
      <c r="AE123" s="51">
        <v>600</v>
      </c>
      <c r="AF123" s="34">
        <v>390</v>
      </c>
      <c r="AG123" s="51">
        <v>800</v>
      </c>
      <c r="AH123" s="51">
        <v>1500</v>
      </c>
      <c r="AI123" s="58">
        <v>97</v>
      </c>
      <c r="AJ123" s="62">
        <v>1.56</v>
      </c>
      <c r="AK123" s="51">
        <v>17710</v>
      </c>
      <c r="AL123" s="61">
        <v>1625</v>
      </c>
      <c r="AM123" s="57">
        <v>3</v>
      </c>
      <c r="AN123" s="57">
        <v>4</v>
      </c>
      <c r="AO123" s="57">
        <v>8</v>
      </c>
      <c r="AP123" s="57">
        <v>14</v>
      </c>
      <c r="AQ123" s="57">
        <v>29</v>
      </c>
      <c r="AR123" s="57">
        <v>50</v>
      </c>
      <c r="AS123" s="57">
        <v>46</v>
      </c>
      <c r="AT123" s="57">
        <v>27</v>
      </c>
      <c r="AU123" s="57">
        <v>17</v>
      </c>
    </row>
    <row r="124" spans="27:47" ht="15.75" customHeight="1" x14ac:dyDescent="0.2">
      <c r="AA124" s="36" t="s">
        <v>209</v>
      </c>
      <c r="AB124" s="55"/>
      <c r="AC124" s="56"/>
      <c r="AD124" s="57" t="s">
        <v>84</v>
      </c>
      <c r="AE124" s="51">
        <v>630</v>
      </c>
      <c r="AF124" s="34">
        <v>390</v>
      </c>
      <c r="AG124" s="51">
        <v>900</v>
      </c>
      <c r="AH124" s="51">
        <v>1500</v>
      </c>
      <c r="AI124" s="58">
        <v>106.2</v>
      </c>
      <c r="AJ124" s="62">
        <v>1.56</v>
      </c>
      <c r="AK124" s="51">
        <v>18740</v>
      </c>
      <c r="AL124" s="61">
        <v>2070</v>
      </c>
      <c r="AM124" s="57">
        <v>3</v>
      </c>
      <c r="AN124" s="57">
        <v>4</v>
      </c>
      <c r="AO124" s="57">
        <v>8</v>
      </c>
      <c r="AP124" s="57">
        <v>14</v>
      </c>
      <c r="AQ124" s="57">
        <v>29</v>
      </c>
      <c r="AR124" s="57">
        <v>50</v>
      </c>
      <c r="AS124" s="57">
        <v>44</v>
      </c>
      <c r="AT124" s="57">
        <v>26</v>
      </c>
      <c r="AU124" s="57">
        <v>16</v>
      </c>
    </row>
    <row r="125" spans="27:47" x14ac:dyDescent="0.2">
      <c r="AA125" s="36" t="s">
        <v>210</v>
      </c>
      <c r="AB125" s="55"/>
      <c r="AC125" s="56"/>
      <c r="AD125" s="57" t="s">
        <v>84</v>
      </c>
      <c r="AE125" s="51">
        <v>710</v>
      </c>
      <c r="AF125" s="34">
        <v>390</v>
      </c>
      <c r="AG125" s="51">
        <v>900</v>
      </c>
      <c r="AH125" s="51">
        <v>1500</v>
      </c>
      <c r="AI125" s="58">
        <v>110.5</v>
      </c>
      <c r="AJ125" s="62">
        <v>0.79</v>
      </c>
      <c r="AK125" s="51">
        <v>21000</v>
      </c>
      <c r="AL125" s="61">
        <v>2185</v>
      </c>
      <c r="AM125" s="57">
        <v>3</v>
      </c>
      <c r="AN125" s="57">
        <v>4</v>
      </c>
      <c r="AO125" s="57">
        <v>7</v>
      </c>
      <c r="AP125" s="57">
        <v>13</v>
      </c>
      <c r="AQ125" s="57">
        <v>28</v>
      </c>
      <c r="AR125" s="57">
        <v>50</v>
      </c>
      <c r="AS125" s="57">
        <v>41</v>
      </c>
      <c r="AT125" s="57">
        <v>23</v>
      </c>
      <c r="AU125" s="57">
        <v>14</v>
      </c>
    </row>
    <row r="126" spans="27:47" x14ac:dyDescent="0.2">
      <c r="AA126" s="36" t="s">
        <v>211</v>
      </c>
      <c r="AB126" s="55"/>
      <c r="AC126" s="56"/>
      <c r="AD126" s="57" t="s">
        <v>84</v>
      </c>
      <c r="AE126" s="51">
        <v>800</v>
      </c>
      <c r="AF126" s="34">
        <v>490</v>
      </c>
      <c r="AG126" s="51">
        <v>1000</v>
      </c>
      <c r="AH126" s="51">
        <v>1500</v>
      </c>
      <c r="AI126" s="58">
        <v>133.5</v>
      </c>
      <c r="AJ126" s="62">
        <v>1.26</v>
      </c>
      <c r="AK126" s="51">
        <v>23220</v>
      </c>
      <c r="AL126" s="61">
        <v>2300</v>
      </c>
      <c r="AM126" s="57">
        <v>2</v>
      </c>
      <c r="AN126" s="57">
        <v>3</v>
      </c>
      <c r="AO126" s="57">
        <v>6</v>
      </c>
      <c r="AP126" s="57">
        <v>13</v>
      </c>
      <c r="AQ126" s="57">
        <v>26</v>
      </c>
      <c r="AR126" s="57">
        <v>49</v>
      </c>
      <c r="AS126" s="57">
        <v>37</v>
      </c>
      <c r="AT126" s="57">
        <v>20</v>
      </c>
      <c r="AU126" s="57">
        <v>12</v>
      </c>
    </row>
    <row r="127" spans="27:47" x14ac:dyDescent="0.2">
      <c r="AA127" s="36" t="s">
        <v>212</v>
      </c>
      <c r="AB127" s="55"/>
      <c r="AC127" s="56"/>
      <c r="AD127" s="57" t="s">
        <v>84</v>
      </c>
      <c r="AE127" s="51">
        <v>900</v>
      </c>
      <c r="AF127" s="34">
        <v>590</v>
      </c>
      <c r="AG127" s="51">
        <v>1120</v>
      </c>
      <c r="AH127" s="51">
        <v>1500</v>
      </c>
      <c r="AI127" s="58">
        <v>156.19999999999999</v>
      </c>
      <c r="AJ127" s="62">
        <v>1.84</v>
      </c>
      <c r="AK127" s="51">
        <v>34585</v>
      </c>
      <c r="AL127" s="61">
        <v>6385</v>
      </c>
      <c r="AM127" s="57">
        <v>2</v>
      </c>
      <c r="AN127" s="57">
        <v>2</v>
      </c>
      <c r="AO127" s="57">
        <v>4</v>
      </c>
      <c r="AP127" s="57">
        <v>10</v>
      </c>
      <c r="AQ127" s="57">
        <v>20</v>
      </c>
      <c r="AR127" s="57">
        <v>39</v>
      </c>
      <c r="AS127" s="57">
        <v>29</v>
      </c>
      <c r="AT127" s="57">
        <v>16</v>
      </c>
      <c r="AU127" s="57">
        <v>9</v>
      </c>
    </row>
    <row r="128" spans="27:47" x14ac:dyDescent="0.2">
      <c r="AA128" s="36" t="s">
        <v>213</v>
      </c>
      <c r="AB128" s="55"/>
      <c r="AC128" s="56"/>
      <c r="AD128" s="57" t="s">
        <v>84</v>
      </c>
      <c r="AE128" s="51">
        <v>1000</v>
      </c>
      <c r="AF128" s="34">
        <v>690</v>
      </c>
      <c r="AG128" s="51">
        <v>1250</v>
      </c>
      <c r="AH128" s="51">
        <v>1500</v>
      </c>
      <c r="AI128" s="58">
        <v>181.5</v>
      </c>
      <c r="AJ128" s="62">
        <v>2.31</v>
      </c>
      <c r="AK128" s="51">
        <v>40100</v>
      </c>
      <c r="AL128" s="61">
        <v>9005</v>
      </c>
      <c r="AM128" s="57">
        <v>1</v>
      </c>
      <c r="AN128" s="57">
        <v>2</v>
      </c>
      <c r="AO128" s="57">
        <v>3</v>
      </c>
      <c r="AP128" s="57">
        <v>6</v>
      </c>
      <c r="AQ128" s="57">
        <v>10</v>
      </c>
      <c r="AR128" s="57">
        <v>19</v>
      </c>
      <c r="AS128" s="57">
        <v>14</v>
      </c>
      <c r="AT128" s="57">
        <v>8</v>
      </c>
      <c r="AU128" s="57">
        <v>4</v>
      </c>
    </row>
    <row r="129" spans="27:47" x14ac:dyDescent="0.2">
      <c r="AA129" s="36" t="s">
        <v>214</v>
      </c>
      <c r="AB129" s="55"/>
      <c r="AC129" s="56"/>
      <c r="AD129" s="57" t="s">
        <v>84</v>
      </c>
      <c r="AE129" s="51">
        <v>200</v>
      </c>
      <c r="AF129" s="34">
        <v>120</v>
      </c>
      <c r="AG129" s="51">
        <v>400</v>
      </c>
      <c r="AH129" s="51">
        <v>2000</v>
      </c>
      <c r="AI129" s="58">
        <v>45</v>
      </c>
      <c r="AJ129" s="62">
        <v>2.5</v>
      </c>
      <c r="AK129" s="51">
        <v>6690</v>
      </c>
      <c r="AL129" s="61">
        <v>485</v>
      </c>
      <c r="AM129" s="57">
        <v>9</v>
      </c>
      <c r="AN129" s="57">
        <v>10</v>
      </c>
      <c r="AO129" s="57">
        <v>19</v>
      </c>
      <c r="AP129" s="57">
        <v>31</v>
      </c>
      <c r="AQ129" s="57">
        <v>50</v>
      </c>
      <c r="AR129" s="57">
        <v>50</v>
      </c>
      <c r="AS129" s="57">
        <v>50</v>
      </c>
      <c r="AT129" s="57">
        <v>50</v>
      </c>
      <c r="AU129" s="57">
        <v>50</v>
      </c>
    </row>
    <row r="130" spans="27:47" x14ac:dyDescent="0.2">
      <c r="AA130" s="47" t="s">
        <v>215</v>
      </c>
      <c r="AB130" s="48"/>
      <c r="AC130" s="49"/>
      <c r="AD130" s="50" t="s">
        <v>84</v>
      </c>
      <c r="AE130" s="34">
        <v>224</v>
      </c>
      <c r="AF130" s="34">
        <v>120</v>
      </c>
      <c r="AG130" s="34">
        <v>400</v>
      </c>
      <c r="AH130" s="34">
        <v>2000</v>
      </c>
      <c r="AI130" s="17">
        <v>45.4</v>
      </c>
      <c r="AJ130" s="65">
        <v>1.78</v>
      </c>
      <c r="AK130" s="34">
        <v>7220</v>
      </c>
      <c r="AL130" s="61">
        <v>500</v>
      </c>
      <c r="AM130" s="50">
        <v>8</v>
      </c>
      <c r="AN130" s="50">
        <v>9</v>
      </c>
      <c r="AO130" s="50">
        <v>18</v>
      </c>
      <c r="AP130" s="50">
        <v>28</v>
      </c>
      <c r="AQ130" s="50">
        <v>50</v>
      </c>
      <c r="AR130" s="50">
        <v>50</v>
      </c>
      <c r="AS130" s="50">
        <v>50</v>
      </c>
      <c r="AT130" s="50">
        <v>50</v>
      </c>
      <c r="AU130" s="50">
        <v>50</v>
      </c>
    </row>
    <row r="131" spans="27:47" x14ac:dyDescent="0.2">
      <c r="AA131" s="47" t="s">
        <v>216</v>
      </c>
      <c r="AB131" s="48"/>
      <c r="AC131" s="49"/>
      <c r="AD131" s="50" t="s">
        <v>84</v>
      </c>
      <c r="AE131" s="34">
        <v>250</v>
      </c>
      <c r="AF131" s="34">
        <v>120</v>
      </c>
      <c r="AG131" s="34">
        <v>450</v>
      </c>
      <c r="AH131" s="34">
        <v>2000</v>
      </c>
      <c r="AI131" s="17">
        <v>52.2</v>
      </c>
      <c r="AJ131" s="65">
        <v>1.05</v>
      </c>
      <c r="AK131" s="34">
        <v>7580</v>
      </c>
      <c r="AL131" s="61">
        <v>625</v>
      </c>
      <c r="AM131" s="50">
        <v>7</v>
      </c>
      <c r="AN131" s="50">
        <v>8</v>
      </c>
      <c r="AO131" s="50">
        <v>17</v>
      </c>
      <c r="AP131" s="50">
        <v>26</v>
      </c>
      <c r="AQ131" s="50">
        <v>49</v>
      </c>
      <c r="AR131" s="50">
        <v>50</v>
      </c>
      <c r="AS131" s="50">
        <v>50</v>
      </c>
      <c r="AT131" s="50">
        <v>50</v>
      </c>
      <c r="AU131" s="50">
        <v>50</v>
      </c>
    </row>
    <row r="132" spans="27:47" x14ac:dyDescent="0.2">
      <c r="AA132" s="47" t="s">
        <v>217</v>
      </c>
      <c r="AB132" s="48"/>
      <c r="AC132" s="49"/>
      <c r="AD132" s="50" t="s">
        <v>84</v>
      </c>
      <c r="AE132" s="34">
        <v>280</v>
      </c>
      <c r="AF132" s="34">
        <v>190</v>
      </c>
      <c r="AG132" s="34">
        <v>500</v>
      </c>
      <c r="AH132" s="34">
        <v>2000</v>
      </c>
      <c r="AI132" s="17">
        <v>62.5</v>
      </c>
      <c r="AJ132" s="65">
        <v>3.25</v>
      </c>
      <c r="AK132" s="34">
        <v>8535</v>
      </c>
      <c r="AL132" s="61">
        <v>640</v>
      </c>
      <c r="AM132" s="50">
        <v>7</v>
      </c>
      <c r="AN132" s="50">
        <v>8</v>
      </c>
      <c r="AO132" s="50">
        <v>17</v>
      </c>
      <c r="AP132" s="50">
        <v>25</v>
      </c>
      <c r="AQ132" s="50">
        <v>46</v>
      </c>
      <c r="AR132" s="50">
        <v>50</v>
      </c>
      <c r="AS132" s="50">
        <v>50</v>
      </c>
      <c r="AT132" s="50">
        <v>50</v>
      </c>
      <c r="AU132" s="50">
        <v>48</v>
      </c>
    </row>
    <row r="133" spans="27:47" x14ac:dyDescent="0.2">
      <c r="AA133" s="47" t="s">
        <v>218</v>
      </c>
      <c r="AB133" s="48"/>
      <c r="AC133" s="49"/>
      <c r="AD133" s="50" t="s">
        <v>84</v>
      </c>
      <c r="AE133" s="34">
        <v>300</v>
      </c>
      <c r="AF133" s="34">
        <v>190</v>
      </c>
      <c r="AG133" s="34">
        <v>500</v>
      </c>
      <c r="AH133" s="34">
        <v>2000</v>
      </c>
      <c r="AI133" s="17">
        <v>62.7</v>
      </c>
      <c r="AJ133" s="65">
        <v>1.97</v>
      </c>
      <c r="AK133" s="34">
        <v>9075</v>
      </c>
      <c r="AL133" s="61">
        <v>675</v>
      </c>
      <c r="AM133" s="50">
        <v>7</v>
      </c>
      <c r="AN133" s="50">
        <v>8</v>
      </c>
      <c r="AO133" s="50">
        <v>15</v>
      </c>
      <c r="AP133" s="50">
        <v>24</v>
      </c>
      <c r="AQ133" s="50">
        <v>45</v>
      </c>
      <c r="AR133" s="50">
        <v>50</v>
      </c>
      <c r="AS133" s="50">
        <v>50</v>
      </c>
      <c r="AT133" s="50">
        <v>50</v>
      </c>
      <c r="AU133" s="50">
        <v>44</v>
      </c>
    </row>
    <row r="134" spans="27:47" x14ac:dyDescent="0.2">
      <c r="AA134" s="47" t="s">
        <v>219</v>
      </c>
      <c r="AB134" s="48"/>
      <c r="AC134" s="49"/>
      <c r="AD134" s="50" t="s">
        <v>84</v>
      </c>
      <c r="AE134" s="34">
        <v>315</v>
      </c>
      <c r="AF134" s="34">
        <v>190</v>
      </c>
      <c r="AG134" s="34">
        <v>500</v>
      </c>
      <c r="AH134" s="34">
        <v>2000</v>
      </c>
      <c r="AI134" s="17">
        <v>62.9</v>
      </c>
      <c r="AJ134" s="65">
        <v>1.57</v>
      </c>
      <c r="AK134" s="34">
        <v>9405</v>
      </c>
      <c r="AL134" s="61">
        <v>700</v>
      </c>
      <c r="AM134" s="50">
        <v>7</v>
      </c>
      <c r="AN134" s="50">
        <v>8</v>
      </c>
      <c r="AO134" s="50">
        <v>14</v>
      </c>
      <c r="AP134" s="50">
        <v>24</v>
      </c>
      <c r="AQ134" s="50">
        <v>44</v>
      </c>
      <c r="AR134" s="50">
        <v>50</v>
      </c>
      <c r="AS134" s="50">
        <v>50</v>
      </c>
      <c r="AT134" s="50">
        <v>50</v>
      </c>
      <c r="AU134" s="50">
        <v>40</v>
      </c>
    </row>
    <row r="135" spans="27:47" x14ac:dyDescent="0.2">
      <c r="AA135" s="47" t="s">
        <v>220</v>
      </c>
      <c r="AB135" s="48"/>
      <c r="AC135" s="49"/>
      <c r="AD135" s="50" t="s">
        <v>84</v>
      </c>
      <c r="AE135" s="34">
        <v>355</v>
      </c>
      <c r="AF135" s="34">
        <v>240</v>
      </c>
      <c r="AG135" s="34">
        <v>560</v>
      </c>
      <c r="AH135" s="34">
        <v>2000</v>
      </c>
      <c r="AI135" s="17">
        <v>70.5</v>
      </c>
      <c r="AJ135" s="65">
        <v>3</v>
      </c>
      <c r="AK135" s="34">
        <v>10750</v>
      </c>
      <c r="AL135" s="61">
        <v>900</v>
      </c>
      <c r="AM135" s="50">
        <v>6</v>
      </c>
      <c r="AN135" s="50">
        <v>7</v>
      </c>
      <c r="AO135" s="50">
        <v>13</v>
      </c>
      <c r="AP135" s="50">
        <v>21</v>
      </c>
      <c r="AQ135" s="50">
        <v>40</v>
      </c>
      <c r="AR135" s="50">
        <v>50</v>
      </c>
      <c r="AS135" s="50">
        <v>50</v>
      </c>
      <c r="AT135" s="50">
        <v>50</v>
      </c>
      <c r="AU135" s="50">
        <v>36</v>
      </c>
    </row>
    <row r="136" spans="27:47" x14ac:dyDescent="0.2">
      <c r="AA136" s="47" t="s">
        <v>221</v>
      </c>
      <c r="AB136" s="48"/>
      <c r="AC136" s="49"/>
      <c r="AD136" s="50" t="s">
        <v>84</v>
      </c>
      <c r="AE136" s="34">
        <v>400</v>
      </c>
      <c r="AF136" s="34">
        <v>240</v>
      </c>
      <c r="AG136" s="34">
        <v>600</v>
      </c>
      <c r="AH136" s="34">
        <v>2000</v>
      </c>
      <c r="AI136" s="17">
        <v>78.5</v>
      </c>
      <c r="AJ136" s="65">
        <v>1.28</v>
      </c>
      <c r="AK136" s="34">
        <v>11795</v>
      </c>
      <c r="AL136" s="61">
        <v>1100</v>
      </c>
      <c r="AM136" s="50">
        <v>6</v>
      </c>
      <c r="AN136" s="50">
        <v>7</v>
      </c>
      <c r="AO136" s="50">
        <v>12</v>
      </c>
      <c r="AP136" s="50">
        <v>20</v>
      </c>
      <c r="AQ136" s="50">
        <v>39</v>
      </c>
      <c r="AR136" s="50">
        <v>50</v>
      </c>
      <c r="AS136" s="50">
        <v>50</v>
      </c>
      <c r="AT136" s="50">
        <v>48</v>
      </c>
      <c r="AU136" s="50">
        <v>31</v>
      </c>
    </row>
    <row r="137" spans="27:47" x14ac:dyDescent="0.2">
      <c r="AA137" s="47" t="s">
        <v>222</v>
      </c>
      <c r="AB137" s="48"/>
      <c r="AC137" s="49"/>
      <c r="AD137" s="50" t="s">
        <v>84</v>
      </c>
      <c r="AE137" s="34">
        <v>450</v>
      </c>
      <c r="AF137" s="34">
        <v>290</v>
      </c>
      <c r="AG137" s="34">
        <v>630</v>
      </c>
      <c r="AH137" s="34">
        <v>2000</v>
      </c>
      <c r="AI137" s="17">
        <v>85.5</v>
      </c>
      <c r="AJ137" s="65">
        <v>2.11</v>
      </c>
      <c r="AK137" s="34">
        <v>14325</v>
      </c>
      <c r="AL137" s="61">
        <v>1360</v>
      </c>
      <c r="AM137" s="50">
        <v>5</v>
      </c>
      <c r="AN137" s="50">
        <v>6</v>
      </c>
      <c r="AO137" s="50">
        <v>11</v>
      </c>
      <c r="AP137" s="50">
        <v>19</v>
      </c>
      <c r="AQ137" s="50">
        <v>37</v>
      </c>
      <c r="AR137" s="50">
        <v>50</v>
      </c>
      <c r="AS137" s="50">
        <v>50</v>
      </c>
      <c r="AT137" s="50">
        <v>43</v>
      </c>
      <c r="AU137" s="50">
        <v>27</v>
      </c>
    </row>
    <row r="138" spans="27:47" x14ac:dyDescent="0.2">
      <c r="AA138" s="47" t="s">
        <v>223</v>
      </c>
      <c r="AB138" s="48"/>
      <c r="AC138" s="49"/>
      <c r="AD138" s="50" t="s">
        <v>84</v>
      </c>
      <c r="AE138" s="34">
        <v>500</v>
      </c>
      <c r="AF138" s="34">
        <v>290</v>
      </c>
      <c r="AG138" s="34">
        <v>710</v>
      </c>
      <c r="AH138" s="34">
        <v>2000</v>
      </c>
      <c r="AI138" s="17">
        <v>98.1</v>
      </c>
      <c r="AJ138" s="65">
        <v>1.48</v>
      </c>
      <c r="AK138" s="34">
        <v>16195</v>
      </c>
      <c r="AL138" s="61">
        <v>1505</v>
      </c>
      <c r="AM138" s="50">
        <v>5</v>
      </c>
      <c r="AN138" s="50">
        <v>6</v>
      </c>
      <c r="AO138" s="50">
        <v>11</v>
      </c>
      <c r="AP138" s="50">
        <v>19</v>
      </c>
      <c r="AQ138" s="50">
        <v>36</v>
      </c>
      <c r="AR138" s="50">
        <v>50</v>
      </c>
      <c r="AS138" s="50">
        <v>50</v>
      </c>
      <c r="AT138" s="50">
        <v>39</v>
      </c>
      <c r="AU138" s="50">
        <v>25</v>
      </c>
    </row>
    <row r="139" spans="27:47" x14ac:dyDescent="0.2">
      <c r="AA139" s="47" t="s">
        <v>224</v>
      </c>
      <c r="AB139" s="48"/>
      <c r="AC139" s="49"/>
      <c r="AD139" s="50" t="s">
        <v>84</v>
      </c>
      <c r="AE139" s="34">
        <v>560</v>
      </c>
      <c r="AF139" s="34">
        <v>390</v>
      </c>
      <c r="AG139" s="34">
        <v>800</v>
      </c>
      <c r="AH139" s="34">
        <v>2000</v>
      </c>
      <c r="AI139" s="17">
        <v>120.5</v>
      </c>
      <c r="AJ139" s="65">
        <v>2.97</v>
      </c>
      <c r="AK139" s="34">
        <v>19740</v>
      </c>
      <c r="AL139" s="61">
        <v>1580</v>
      </c>
      <c r="AM139" s="50">
        <v>4</v>
      </c>
      <c r="AN139" s="50">
        <v>5</v>
      </c>
      <c r="AO139" s="50">
        <v>10</v>
      </c>
      <c r="AP139" s="50">
        <v>18</v>
      </c>
      <c r="AQ139" s="50">
        <v>36</v>
      </c>
      <c r="AR139" s="50">
        <v>50</v>
      </c>
      <c r="AS139" s="50">
        <v>50</v>
      </c>
      <c r="AT139" s="50">
        <v>35</v>
      </c>
      <c r="AU139" s="50">
        <v>22</v>
      </c>
    </row>
    <row r="140" spans="27:47" x14ac:dyDescent="0.2">
      <c r="AA140" s="47" t="s">
        <v>225</v>
      </c>
      <c r="AB140" s="48"/>
      <c r="AC140" s="49"/>
      <c r="AD140" s="50" t="s">
        <v>84</v>
      </c>
      <c r="AE140" s="34">
        <v>600</v>
      </c>
      <c r="AF140" s="34">
        <v>390</v>
      </c>
      <c r="AG140" s="34">
        <v>800</v>
      </c>
      <c r="AH140" s="34">
        <v>2000</v>
      </c>
      <c r="AI140" s="17">
        <v>127.5</v>
      </c>
      <c r="AJ140" s="65">
        <v>1.67</v>
      </c>
      <c r="AK140" s="34">
        <v>21365</v>
      </c>
      <c r="AL140" s="61">
        <v>1625</v>
      </c>
      <c r="AM140" s="50">
        <v>4</v>
      </c>
      <c r="AN140" s="50">
        <v>5</v>
      </c>
      <c r="AO140" s="50">
        <v>10</v>
      </c>
      <c r="AP140" s="50">
        <v>17</v>
      </c>
      <c r="AQ140" s="50">
        <v>35</v>
      </c>
      <c r="AR140" s="50">
        <v>50</v>
      </c>
      <c r="AS140" s="50">
        <v>50</v>
      </c>
      <c r="AT140" s="50">
        <v>32</v>
      </c>
      <c r="AU140" s="50">
        <v>20</v>
      </c>
    </row>
    <row r="141" spans="27:47" x14ac:dyDescent="0.2">
      <c r="AA141" s="47" t="s">
        <v>226</v>
      </c>
      <c r="AB141" s="48"/>
      <c r="AC141" s="49"/>
      <c r="AD141" s="50" t="s">
        <v>84</v>
      </c>
      <c r="AE141" s="34">
        <v>630</v>
      </c>
      <c r="AF141" s="34">
        <v>390</v>
      </c>
      <c r="AG141" s="34">
        <v>900</v>
      </c>
      <c r="AH141" s="34">
        <v>2000</v>
      </c>
      <c r="AI141" s="17">
        <v>137</v>
      </c>
      <c r="AJ141" s="65">
        <v>1.67</v>
      </c>
      <c r="AK141" s="34">
        <v>22440</v>
      </c>
      <c r="AL141" s="61">
        <v>2070</v>
      </c>
      <c r="AM141" s="50">
        <v>4</v>
      </c>
      <c r="AN141" s="50">
        <v>5</v>
      </c>
      <c r="AO141" s="50">
        <v>10</v>
      </c>
      <c r="AP141" s="50">
        <v>17</v>
      </c>
      <c r="AQ141" s="50">
        <v>35</v>
      </c>
      <c r="AR141" s="50">
        <v>50</v>
      </c>
      <c r="AS141" s="50">
        <v>50</v>
      </c>
      <c r="AT141" s="50">
        <v>31</v>
      </c>
      <c r="AU141" s="50">
        <v>19</v>
      </c>
    </row>
    <row r="142" spans="27:47" x14ac:dyDescent="0.2">
      <c r="AA142" s="47" t="s">
        <v>227</v>
      </c>
      <c r="AB142" s="48"/>
      <c r="AC142" s="49"/>
      <c r="AD142" s="50" t="s">
        <v>84</v>
      </c>
      <c r="AE142" s="34">
        <v>710</v>
      </c>
      <c r="AF142" s="34">
        <v>390</v>
      </c>
      <c r="AG142" s="34">
        <v>900</v>
      </c>
      <c r="AH142" s="34">
        <v>2000</v>
      </c>
      <c r="AI142" s="17">
        <v>139.5</v>
      </c>
      <c r="AJ142" s="65">
        <v>1.02</v>
      </c>
      <c r="AK142" s="34">
        <v>25165</v>
      </c>
      <c r="AL142" s="61">
        <v>2185</v>
      </c>
      <c r="AM142" s="50">
        <v>3</v>
      </c>
      <c r="AN142" s="50">
        <v>4</v>
      </c>
      <c r="AO142" s="50">
        <v>8</v>
      </c>
      <c r="AP142" s="50">
        <v>15</v>
      </c>
      <c r="AQ142" s="50">
        <v>33</v>
      </c>
      <c r="AR142" s="50">
        <v>50</v>
      </c>
      <c r="AS142" s="50">
        <v>49</v>
      </c>
      <c r="AT142" s="50">
        <v>28</v>
      </c>
      <c r="AU142" s="50">
        <v>17</v>
      </c>
    </row>
    <row r="143" spans="27:47" x14ac:dyDescent="0.2">
      <c r="AA143" s="47" t="s">
        <v>228</v>
      </c>
      <c r="AB143" s="48"/>
      <c r="AC143" s="49"/>
      <c r="AD143" s="50" t="s">
        <v>84</v>
      </c>
      <c r="AE143" s="34">
        <v>800</v>
      </c>
      <c r="AF143" s="34">
        <v>490</v>
      </c>
      <c r="AG143" s="34">
        <v>1000</v>
      </c>
      <c r="AH143" s="34">
        <v>2000</v>
      </c>
      <c r="AI143" s="17">
        <v>172.5</v>
      </c>
      <c r="AJ143" s="65">
        <v>1.44</v>
      </c>
      <c r="AK143" s="34">
        <v>27650</v>
      </c>
      <c r="AL143" s="61">
        <v>2300</v>
      </c>
      <c r="AM143" s="50">
        <v>3</v>
      </c>
      <c r="AN143" s="50">
        <v>4</v>
      </c>
      <c r="AO143" s="50">
        <v>7</v>
      </c>
      <c r="AP143" s="50">
        <v>15</v>
      </c>
      <c r="AQ143" s="50">
        <v>31</v>
      </c>
      <c r="AR143" s="50">
        <v>50</v>
      </c>
      <c r="AS143" s="50">
        <v>44</v>
      </c>
      <c r="AT143" s="50">
        <v>24</v>
      </c>
      <c r="AU143" s="50">
        <v>14</v>
      </c>
    </row>
    <row r="144" spans="27:47" x14ac:dyDescent="0.2">
      <c r="AA144" s="47" t="s">
        <v>229</v>
      </c>
      <c r="AB144" s="48"/>
      <c r="AC144" s="49"/>
      <c r="AD144" s="50" t="s">
        <v>84</v>
      </c>
      <c r="AE144" s="34">
        <v>900</v>
      </c>
      <c r="AF144" s="34">
        <v>590</v>
      </c>
      <c r="AG144" s="34">
        <v>1120</v>
      </c>
      <c r="AH144" s="34">
        <v>2000</v>
      </c>
      <c r="AI144" s="17">
        <v>202.5</v>
      </c>
      <c r="AJ144" s="65">
        <v>2.21</v>
      </c>
      <c r="AK144" s="34">
        <v>43180</v>
      </c>
      <c r="AL144" s="61">
        <v>6385</v>
      </c>
      <c r="AM144" s="50">
        <v>3</v>
      </c>
      <c r="AN144" s="50">
        <v>4</v>
      </c>
      <c r="AO144" s="50">
        <v>7</v>
      </c>
      <c r="AP144" s="50">
        <v>14</v>
      </c>
      <c r="AQ144" s="50">
        <v>29</v>
      </c>
      <c r="AR144" s="50">
        <v>50</v>
      </c>
      <c r="AS144" s="50">
        <v>41</v>
      </c>
      <c r="AT144" s="50">
        <v>20</v>
      </c>
      <c r="AU144" s="50">
        <v>13</v>
      </c>
    </row>
    <row r="145" spans="27:51" x14ac:dyDescent="0.2">
      <c r="AA145" s="47" t="s">
        <v>230</v>
      </c>
      <c r="AB145" s="48"/>
      <c r="AC145" s="49"/>
      <c r="AD145" s="50" t="s">
        <v>84</v>
      </c>
      <c r="AE145" s="34">
        <v>1000</v>
      </c>
      <c r="AF145" s="34">
        <v>690</v>
      </c>
      <c r="AG145" s="34">
        <v>1250</v>
      </c>
      <c r="AH145" s="34">
        <v>2000</v>
      </c>
      <c r="AI145" s="17">
        <v>237</v>
      </c>
      <c r="AJ145" s="65">
        <v>2.63</v>
      </c>
      <c r="AK145" s="34">
        <v>49970</v>
      </c>
      <c r="AL145" s="61">
        <v>9005</v>
      </c>
      <c r="AM145" s="50">
        <v>3</v>
      </c>
      <c r="AN145" s="50">
        <v>4</v>
      </c>
      <c r="AO145" s="50">
        <v>7</v>
      </c>
      <c r="AP145" s="50">
        <v>13</v>
      </c>
      <c r="AQ145" s="50">
        <v>27</v>
      </c>
      <c r="AR145" s="50">
        <v>50</v>
      </c>
      <c r="AS145" s="50">
        <v>40</v>
      </c>
      <c r="AT145" s="50">
        <v>19</v>
      </c>
      <c r="AU145" s="50">
        <v>12</v>
      </c>
    </row>
    <row r="147" spans="27:51" x14ac:dyDescent="0.2">
      <c r="AA147" s="97" t="s">
        <v>111</v>
      </c>
      <c r="AB147" s="98"/>
      <c r="AC147" s="98"/>
      <c r="AD147" s="98"/>
    </row>
    <row r="148" spans="27:51" x14ac:dyDescent="0.25">
      <c r="AA148" s="64" t="s">
        <v>1</v>
      </c>
      <c r="AB148" s="64" t="s">
        <v>96</v>
      </c>
      <c r="AC148" s="64" t="s">
        <v>108</v>
      </c>
      <c r="AD148" s="64" t="s">
        <v>15</v>
      </c>
      <c r="AE148" s="64" t="s">
        <v>8</v>
      </c>
      <c r="AF148" s="64" t="s">
        <v>14</v>
      </c>
      <c r="AG148" s="64" t="s">
        <v>2</v>
      </c>
      <c r="AH148" s="64" t="s">
        <v>107</v>
      </c>
      <c r="AI148" s="64" t="s">
        <v>4</v>
      </c>
      <c r="AJ148" s="64" t="s">
        <v>101</v>
      </c>
      <c r="AK148" s="64" t="s">
        <v>3</v>
      </c>
      <c r="AL148" s="64" t="s">
        <v>7</v>
      </c>
      <c r="AM148" s="64" t="s">
        <v>9</v>
      </c>
      <c r="AN148" s="64" t="s">
        <v>10</v>
      </c>
      <c r="AO148" s="64" t="s">
        <v>102</v>
      </c>
      <c r="AP148" s="64" t="s">
        <v>11</v>
      </c>
      <c r="AQ148" s="68">
        <v>31.5</v>
      </c>
      <c r="AR148" s="69">
        <v>63</v>
      </c>
      <c r="AS148" s="69">
        <v>125</v>
      </c>
      <c r="AT148" s="69">
        <v>250</v>
      </c>
      <c r="AU148" s="69">
        <v>500</v>
      </c>
      <c r="AV148" s="69">
        <v>1000</v>
      </c>
      <c r="AW148" s="69">
        <v>2000</v>
      </c>
      <c r="AX148" s="69">
        <v>4000</v>
      </c>
      <c r="AY148" s="69">
        <v>8000</v>
      </c>
    </row>
    <row r="149" spans="27:51" x14ac:dyDescent="0.2">
      <c r="AA149" s="42" t="s">
        <v>71</v>
      </c>
      <c r="AB149" s="64" t="s">
        <v>52</v>
      </c>
      <c r="AC149" s="64" t="s">
        <v>52</v>
      </c>
      <c r="AD149" s="64" t="s">
        <v>53</v>
      </c>
      <c r="AE149" s="64" t="s">
        <v>54</v>
      </c>
      <c r="AF149" s="64" t="s">
        <v>22</v>
      </c>
      <c r="AG149" s="43" t="s">
        <v>73</v>
      </c>
      <c r="AH149" s="43" t="s">
        <v>73</v>
      </c>
      <c r="AI149" s="64" t="s">
        <v>56</v>
      </c>
      <c r="AJ149" s="64" t="s">
        <v>56</v>
      </c>
      <c r="AK149" s="64" t="s">
        <v>56</v>
      </c>
      <c r="AL149" s="64" t="s">
        <v>56</v>
      </c>
      <c r="AM149" s="64" t="s">
        <v>109</v>
      </c>
      <c r="AN149" s="64" t="s">
        <v>22</v>
      </c>
      <c r="AO149" s="64" t="s">
        <v>110</v>
      </c>
      <c r="AP149" s="64" t="s">
        <v>22</v>
      </c>
      <c r="AQ149" s="64" t="s">
        <v>57</v>
      </c>
      <c r="AR149" s="64" t="s">
        <v>57</v>
      </c>
      <c r="AS149" s="64" t="s">
        <v>57</v>
      </c>
      <c r="AT149" s="64" t="s">
        <v>57</v>
      </c>
      <c r="AU149" s="64" t="s">
        <v>57</v>
      </c>
      <c r="AV149" s="64" t="s">
        <v>57</v>
      </c>
      <c r="AW149" s="64" t="s">
        <v>57</v>
      </c>
      <c r="AX149" s="64" t="s">
        <v>57</v>
      </c>
      <c r="AY149" s="64" t="s">
        <v>57</v>
      </c>
    </row>
    <row r="150" spans="27:51" x14ac:dyDescent="0.2">
      <c r="AA150" s="66">
        <f>B12</f>
        <v>4000</v>
      </c>
      <c r="AB150" s="66">
        <f>B13</f>
        <v>250</v>
      </c>
      <c r="AC150" s="66">
        <f>AG22</f>
        <v>0</v>
      </c>
      <c r="AD150" s="66">
        <f>B17</f>
        <v>20</v>
      </c>
      <c r="AE150" s="66">
        <f>B18</f>
        <v>101325</v>
      </c>
      <c r="AF150" s="66" t="str">
        <f>B15</f>
        <v>GD</v>
      </c>
      <c r="AG150" s="67">
        <f>PI()*AB150^2/4/1000000</f>
        <v>4.9087385212340517E-2</v>
      </c>
      <c r="AH150" s="67">
        <f>PI()/4*(AB150^2-AC150^2)/1000000</f>
        <v>4.9087385212340517E-2</v>
      </c>
      <c r="AI150" s="17">
        <f>AA150/3600/AG150</f>
        <v>22.63536968418067</v>
      </c>
      <c r="AJ150" s="17">
        <f>AA150/3600/AH150</f>
        <v>22.63536968418067</v>
      </c>
      <c r="AK150" s="17">
        <f>(1.4*287.15*(AD150+273.15))^0.5</f>
        <v>343.29175856696583</v>
      </c>
      <c r="AL150" s="67">
        <f>AJ150/AK150</f>
        <v>6.5936245538400232E-2</v>
      </c>
      <c r="AM150" s="67">
        <f>IF(AF150="GD",AB150/1000,IF(AF150="GDE",(AB150-AC150)/2000))</f>
        <v>0.25</v>
      </c>
      <c r="AN150" s="54">
        <v>0.02</v>
      </c>
      <c r="AO150" s="34">
        <v>1</v>
      </c>
      <c r="AP150" s="34">
        <v>48</v>
      </c>
      <c r="AQ150" s="34">
        <f>$AP150+(10*LOG10($AE150*$AK150*$AH150/$AO150)+60*LOG10($AL150)+10*LOG10(1+($AK150/2/AQ$148/$AM150)^2)-10*LOG10(1+(AQ$148*$AN150/$AJ150)^2))</f>
        <v>66.244377092545449</v>
      </c>
      <c r="AR150" s="34">
        <f t="shared" ref="AR150:AY150" si="16">$AP150+(10*LOG10($AE150*$AK150*$AH150/$AO150)+60*LOG10($AL150)+10*LOG10(1+($AK150/2/AR$148/$AM150)^2)-10*LOG10(1+(AR$148*$AN150/$AJ150)^2))</f>
        <v>60.240984992852475</v>
      </c>
      <c r="AS150" s="34">
        <f t="shared" si="16"/>
        <v>54.35557992867988</v>
      </c>
      <c r="AT150" s="34">
        <f t="shared" si="16"/>
        <v>48.579824583251018</v>
      </c>
      <c r="AU150" s="34">
        <f t="shared" si="16"/>
        <v>43.298978510596278</v>
      </c>
      <c r="AV150" s="34">
        <f t="shared" si="16"/>
        <v>38.64233985432822</v>
      </c>
      <c r="AW150" s="34">
        <f t="shared" si="16"/>
        <v>33.802856645184875</v>
      </c>
      <c r="AX150" s="34">
        <f t="shared" si="16"/>
        <v>28.296544632108642</v>
      </c>
      <c r="AY150" s="34">
        <f t="shared" si="16"/>
        <v>22.430113413424593</v>
      </c>
    </row>
  </sheetData>
  <sheetProtection algorithmName="SHA-512" hashValue="TtUDgd70vz7pug5VJujkQoHhSOyzGGFZ49gh7gwWkqQ3nM6GtvJUf/7CsqTS5O7qoUS0sSO4AnuqaR+l3Ucm7g==" saltValue="bfIW1ooJtxDs8700NBEXHQ==" spinCount="100000" sheet="1" objects="1" scenarios="1"/>
  <mergeCells count="64">
    <mergeCell ref="AA147:AD147"/>
    <mergeCell ref="D39:F39"/>
    <mergeCell ref="D38:F38"/>
    <mergeCell ref="A39:C39"/>
    <mergeCell ref="A38:C38"/>
    <mergeCell ref="A41:I41"/>
    <mergeCell ref="G40:I40"/>
    <mergeCell ref="A40:C40"/>
    <mergeCell ref="D40:F40"/>
    <mergeCell ref="J41:L41"/>
    <mergeCell ref="G39:I39"/>
    <mergeCell ref="G38:I38"/>
    <mergeCell ref="J39:L39"/>
    <mergeCell ref="J38:L38"/>
    <mergeCell ref="J40:L40"/>
    <mergeCell ref="B18:C18"/>
    <mergeCell ref="E12:K12"/>
    <mergeCell ref="B13:C13"/>
    <mergeCell ref="E22:K22"/>
    <mergeCell ref="B22:C22"/>
    <mergeCell ref="B14:C14"/>
    <mergeCell ref="B15:C15"/>
    <mergeCell ref="E18:K18"/>
    <mergeCell ref="B21:C21"/>
    <mergeCell ref="E21:K21"/>
    <mergeCell ref="E19:K19"/>
    <mergeCell ref="B19:C19"/>
    <mergeCell ref="E20:K20"/>
    <mergeCell ref="B16:C16"/>
    <mergeCell ref="E16:K16"/>
    <mergeCell ref="N1:Y1"/>
    <mergeCell ref="A7:L7"/>
    <mergeCell ref="A8:L8"/>
    <mergeCell ref="B17:C17"/>
    <mergeCell ref="K11:L11"/>
    <mergeCell ref="B12:C12"/>
    <mergeCell ref="A5:L6"/>
    <mergeCell ref="N10:Q10"/>
    <mergeCell ref="R10:X10"/>
    <mergeCell ref="A10:C10"/>
    <mergeCell ref="D10:L10"/>
    <mergeCell ref="E14:K14"/>
    <mergeCell ref="E15:K15"/>
    <mergeCell ref="E17:K17"/>
    <mergeCell ref="E13:K13"/>
    <mergeCell ref="E23:K23"/>
    <mergeCell ref="B20:C20"/>
    <mergeCell ref="A32:L32"/>
    <mergeCell ref="A37:L37"/>
    <mergeCell ref="N19:Y19"/>
    <mergeCell ref="E24:K24"/>
    <mergeCell ref="E25:K25"/>
    <mergeCell ref="E26:K26"/>
    <mergeCell ref="B25:C25"/>
    <mergeCell ref="B26:C26"/>
    <mergeCell ref="A28:L28"/>
    <mergeCell ref="B23:C23"/>
    <mergeCell ref="B24:C24"/>
    <mergeCell ref="AA1:AO2"/>
    <mergeCell ref="AA20:AC20"/>
    <mergeCell ref="AA24:AC24"/>
    <mergeCell ref="AA25:AC25"/>
    <mergeCell ref="AA4:AC4"/>
    <mergeCell ref="AA8:AC8"/>
  </mergeCells>
  <phoneticPr fontId="1" type="noConversion"/>
  <conditionalFormatting sqref="A7">
    <cfRule type="cellIs" dxfId="20" priority="27" operator="notEqual">
      <formula>"Zadejte název projektu"</formula>
    </cfRule>
  </conditionalFormatting>
  <conditionalFormatting sqref="A8">
    <cfRule type="cellIs" dxfId="19" priority="26" operator="notEqual">
      <formula>"Zadejte název tlumiče"</formula>
    </cfRule>
  </conditionalFormatting>
  <conditionalFormatting sqref="B12:C12">
    <cfRule type="expression" dxfId="18" priority="24">
      <formula>$L$12=0</formula>
    </cfRule>
  </conditionalFormatting>
  <conditionalFormatting sqref="B13:C13">
    <cfRule type="expression" dxfId="17" priority="22">
      <formula>$L$13=0</formula>
    </cfRule>
  </conditionalFormatting>
  <conditionalFormatting sqref="B14:C14">
    <cfRule type="expression" dxfId="16" priority="20">
      <formula>$L$14=0</formula>
    </cfRule>
  </conditionalFormatting>
  <conditionalFormatting sqref="B15:C15">
    <cfRule type="expression" dxfId="15" priority="19">
      <formula>$L$15=0</formula>
    </cfRule>
  </conditionalFormatting>
  <conditionalFormatting sqref="B17:C17">
    <cfRule type="expression" dxfId="14" priority="15">
      <formula>$L$17=0</formula>
    </cfRule>
  </conditionalFormatting>
  <conditionalFormatting sqref="B18:C18">
    <cfRule type="expression" dxfId="13" priority="14">
      <formula>$L$18=0</formula>
    </cfRule>
  </conditionalFormatting>
  <conditionalFormatting sqref="B19:C19">
    <cfRule type="expression" dxfId="12" priority="13">
      <formula>$L$19=0</formula>
    </cfRule>
  </conditionalFormatting>
  <conditionalFormatting sqref="A7:L7">
    <cfRule type="expression" dxfId="11" priority="12">
      <formula>IF($A$7="Zadejte název projektu",0,1)</formula>
    </cfRule>
  </conditionalFormatting>
  <conditionalFormatting sqref="A8:L8">
    <cfRule type="expression" dxfId="10" priority="11">
      <formula>IF($A$8="Zadejte název tlumiče",0,1)</formula>
    </cfRule>
  </conditionalFormatting>
  <conditionalFormatting sqref="B16:C16">
    <cfRule type="expression" dxfId="9" priority="10">
      <formula>IF($L$16=0,1,0)</formula>
    </cfRule>
  </conditionalFormatting>
  <conditionalFormatting sqref="B24:C24">
    <cfRule type="expression" dxfId="8" priority="9">
      <formula>IF($L$24=0,1,0)</formula>
    </cfRule>
  </conditionalFormatting>
  <conditionalFormatting sqref="E24:K24">
    <cfRule type="expression" dxfId="7" priority="8">
      <formula>IF($L$24=1,0,1)</formula>
    </cfRule>
  </conditionalFormatting>
  <conditionalFormatting sqref="E13:K13">
    <cfRule type="expression" dxfId="6" priority="7">
      <formula>IF($L$13=0,1,0)</formula>
    </cfRule>
  </conditionalFormatting>
  <conditionalFormatting sqref="E12:K12">
    <cfRule type="expression" dxfId="5" priority="6">
      <formula>IF($L$12=0,1,0)</formula>
    </cfRule>
  </conditionalFormatting>
  <conditionalFormatting sqref="E14:K14">
    <cfRule type="expression" dxfId="4" priority="5">
      <formula>IF($L$14=0,1,0)</formula>
    </cfRule>
  </conditionalFormatting>
  <conditionalFormatting sqref="E15:K15">
    <cfRule type="expression" dxfId="3" priority="4">
      <formula>IF($L$15=0,1,0)</formula>
    </cfRule>
  </conditionalFormatting>
  <conditionalFormatting sqref="E16:K16">
    <cfRule type="expression" dxfId="2" priority="3">
      <formula>IF($L$16=0,1,0)</formula>
    </cfRule>
  </conditionalFormatting>
  <conditionalFormatting sqref="E17:K17">
    <cfRule type="expression" dxfId="1" priority="2">
      <formula>IF($L$17=0,1,0)</formula>
    </cfRule>
  </conditionalFormatting>
  <conditionalFormatting sqref="E18:K18">
    <cfRule type="expression" dxfId="0" priority="1">
      <formula>IF($L$18=0,1,0)</formula>
    </cfRule>
  </conditionalFormatting>
  <printOptions horizontalCentered="1"/>
  <pageMargins left="0.59055118110236227" right="0.39370078740157483" top="0.78740157480314965" bottom="0.78740157480314965" header="0.51181102362204722" footer="0.51181102362204722"/>
  <pageSetup paperSize="9" pageOrder="overThenDown" orientation="portrait" verticalDpi="98" r:id="rId1"/>
  <headerFooter>
    <oddFooter xml:space="preserve">&amp;LQ199-02, revize 1.0 © Greif-akustika, s.r.o.&amp;R&amp;D | List &amp;P/&amp;N    </oddFooter>
  </headerFooter>
  <colBreaks count="1" manualBreakCount="1">
    <brk id="13" max="4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1</vt:i4>
      </vt:variant>
    </vt:vector>
  </HeadingPairs>
  <TitlesOfParts>
    <vt:vector size="3" baseType="lpstr">
      <vt:lpstr>INFO</vt:lpstr>
      <vt:lpstr>TLU-01</vt:lpstr>
      <vt:lpstr>'TLU-01'!Oblast_tisku</vt:lpstr>
    </vt:vector>
  </TitlesOfParts>
  <Manager>Ing. Ladislav Mička</Manager>
  <Company>Greif-akustika, s.r.o.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Návrh kruhových tlumičů GREIF</dc:title>
  <dc:subject>ITS122-01</dc:subject>
  <dc:creator>Ing. Ladislav Mička</dc:creator>
  <cp:keywords>Q199-02</cp:keywords>
  <dc:description>Návrhový SW společnosti Greif-akustika, s.r.o.
Kontakt na autora: micka@greif.cz.
© Greif-akustika, s.r.o.; Všechna práva vyhrazena.</dc:description>
  <cp:lastModifiedBy>Ladislav Mička</cp:lastModifiedBy>
  <cp:lastPrinted>2018-12-28T10:01:35Z</cp:lastPrinted>
  <dcterms:created xsi:type="dcterms:W3CDTF">1997-01-24T11:07:25Z</dcterms:created>
  <dcterms:modified xsi:type="dcterms:W3CDTF">2021-01-21T12:04:11Z</dcterms:modified>
  <cp:category>Šablona</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Číslo dokumentu">
    <vt:lpwstr>Q130-02</vt:lpwstr>
  </property>
</Properties>
</file>