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codeName="ThisWorkbook"/>
  <mc:AlternateContent xmlns:mc="http://schemas.openxmlformats.org/markup-compatibility/2006">
    <mc:Choice Requires="x15">
      <x15ac:absPath xmlns:x15ac="http://schemas.microsoft.com/office/spreadsheetml/2010/11/ac" url="https://d.docs.live.net/20f5300296089b4f/Katalogy/Příprava/Ceníky/"/>
    </mc:Choice>
  </mc:AlternateContent>
  <xr:revisionPtr revIDLastSave="0" documentId="13_ncr:1_{78C6C00C-4F49-034E-9706-080315DCB7A6}" xr6:coauthVersionLast="47" xr6:coauthVersionMax="47" xr10:uidLastSave="{00000000-0000-0000-0000-000000000000}"/>
  <bookViews>
    <workbookView xWindow="0" yWindow="500" windowWidth="40960" windowHeight="20860" tabRatio="378" xr2:uid="{00000000-000D-0000-FFFF-FFFF00000000}"/>
  </bookViews>
  <sheets>
    <sheet name="INFO" sheetId="7" r:id="rId1"/>
    <sheet name="TLU-01" sheetId="5" r:id="rId2"/>
  </sheets>
  <definedNames>
    <definedName name="GDData" localSheetId="0">#REF!</definedName>
    <definedName name="GDData">#REF!</definedName>
    <definedName name="_xlnm.Print_Area" localSheetId="0">INFO!$A$1:$L$9,INFO!#REF!</definedName>
    <definedName name="_xlnm.Print_Area" localSheetId="1">'TLU-01'!$A$1:$L$46,'TLU-01'!$N$1:$Y$46</definedName>
  </definedNames>
  <calcPr calcId="191029"/>
</workbook>
</file>

<file path=xl/calcChain.xml><?xml version="1.0" encoding="utf-8"?>
<calcChain xmlns="http://schemas.openxmlformats.org/spreadsheetml/2006/main">
  <c r="L13" i="5" l="1"/>
  <c r="K13" i="5"/>
  <c r="AK27" i="5" l="1"/>
  <c r="AJ27" i="5"/>
  <c r="AI27" i="5"/>
  <c r="AH27" i="5"/>
  <c r="AG27" i="5"/>
  <c r="AF27" i="5"/>
  <c r="AE27" i="5"/>
  <c r="AD27" i="5"/>
  <c r="AC27" i="5"/>
  <c r="AK26" i="5"/>
  <c r="AJ26" i="5"/>
  <c r="AI26" i="5"/>
  <c r="AH26" i="5"/>
  <c r="AG26" i="5"/>
  <c r="AF26" i="5"/>
  <c r="AE26" i="5"/>
  <c r="AD26" i="5"/>
  <c r="AC26" i="5"/>
  <c r="N16" i="5" l="1"/>
  <c r="N14" i="5"/>
  <c r="N12" i="5"/>
  <c r="AK31" i="5" l="1"/>
  <c r="AJ31" i="5"/>
  <c r="AI31" i="5"/>
  <c r="AH31" i="5"/>
  <c r="AG31" i="5"/>
  <c r="AF31" i="5"/>
  <c r="AE31" i="5"/>
  <c r="AD31" i="5"/>
  <c r="AC31" i="5"/>
  <c r="AV43" i="5"/>
  <c r="AU38" i="5"/>
  <c r="AT38" i="5"/>
  <c r="AS38" i="5"/>
  <c r="AF6" i="5"/>
  <c r="AE6" i="5"/>
  <c r="AG6" i="5" s="1"/>
  <c r="AG7" i="5" s="1"/>
  <c r="AL26" i="5" l="1"/>
  <c r="AS43" i="5"/>
  <c r="AS46" i="5" s="1"/>
  <c r="AV38" i="5"/>
  <c r="AV39" i="5" s="1"/>
  <c r="L15" i="5" l="1"/>
  <c r="L16" i="5" l="1"/>
  <c r="L22" i="5" l="1"/>
  <c r="L21" i="5"/>
  <c r="L20" i="5"/>
  <c r="L19" i="5"/>
  <c r="L18" i="5"/>
  <c r="L17" i="5"/>
  <c r="L14" i="5"/>
  <c r="L12" i="5"/>
  <c r="L37" i="5" l="1"/>
  <c r="B25" i="5" s="1"/>
  <c r="AL27" i="5"/>
  <c r="Y12" i="5" s="1"/>
  <c r="D10" i="5" l="1"/>
  <c r="AC28" i="5"/>
  <c r="C45" i="5" s="1"/>
  <c r="P13" i="5" s="1"/>
  <c r="B23" i="5"/>
  <c r="B37" i="5"/>
  <c r="Q44" i="5"/>
  <c r="L46" i="5"/>
  <c r="AD28" i="5"/>
  <c r="D45" i="5" s="1"/>
  <c r="Q13" i="5" s="1"/>
  <c r="AJ28" i="5"/>
  <c r="J45" i="5" s="1"/>
  <c r="B34" i="5"/>
  <c r="B26" i="5"/>
  <c r="B29" i="5" s="1"/>
  <c r="B31" i="5"/>
  <c r="AI28" i="5"/>
  <c r="I45" i="5" s="1"/>
  <c r="V13" i="5" s="1"/>
  <c r="AF28" i="5"/>
  <c r="F45" i="5" s="1"/>
  <c r="S13" i="5" s="1"/>
  <c r="Q45" i="5"/>
  <c r="AG28" i="5"/>
  <c r="G45" i="5" s="1"/>
  <c r="T13" i="5" s="1"/>
  <c r="B36" i="5"/>
  <c r="B35" i="5"/>
  <c r="AH28" i="5"/>
  <c r="H45" i="5" s="1"/>
  <c r="U13" i="5" s="1"/>
  <c r="AE28" i="5"/>
  <c r="E45" i="5" s="1"/>
  <c r="R13" i="5" s="1"/>
  <c r="AK28" i="5"/>
  <c r="K45" i="5" s="1"/>
  <c r="X13" i="5" s="1"/>
  <c r="B24" i="5"/>
  <c r="J46" i="5" l="1"/>
  <c r="W13" i="5"/>
  <c r="W44" i="5"/>
  <c r="W46" i="5" s="1"/>
  <c r="C46" i="5"/>
  <c r="D46" i="5"/>
  <c r="B33" i="5"/>
  <c r="B28" i="5"/>
  <c r="B30" i="5" s="1"/>
  <c r="B27" i="5"/>
  <c r="G46" i="5"/>
  <c r="H46" i="5"/>
  <c r="E46" i="5"/>
  <c r="K46" i="5"/>
  <c r="I46" i="5"/>
  <c r="F46" i="5"/>
  <c r="W45" i="5" l="1"/>
  <c r="K11" i="5"/>
  <c r="E27" i="5"/>
  <c r="B32" i="5"/>
  <c r="AH29" i="5" l="1"/>
  <c r="AF29" i="5"/>
  <c r="AC29" i="5"/>
  <c r="AJ29" i="5"/>
  <c r="AE29" i="5"/>
  <c r="AK29" i="5"/>
  <c r="AI29" i="5"/>
  <c r="AD29" i="5"/>
  <c r="AG29" i="5"/>
  <c r="AD30" i="5" l="1"/>
  <c r="Q14" i="5" s="1"/>
  <c r="AD32" i="5"/>
  <c r="D41" i="5"/>
  <c r="J41" i="5"/>
  <c r="AJ30" i="5"/>
  <c r="W14" i="5" s="1"/>
  <c r="AJ32" i="5"/>
  <c r="I41" i="5"/>
  <c r="AI30" i="5"/>
  <c r="V14" i="5" s="1"/>
  <c r="AI32" i="5"/>
  <c r="C41" i="5"/>
  <c r="AL29" i="5"/>
  <c r="AC32" i="5"/>
  <c r="AC30" i="5"/>
  <c r="P14" i="5" s="1"/>
  <c r="AK32" i="5"/>
  <c r="AK30" i="5"/>
  <c r="X14" i="5" s="1"/>
  <c r="K41" i="5"/>
  <c r="AF32" i="5"/>
  <c r="F41" i="5"/>
  <c r="AF30" i="5"/>
  <c r="S14" i="5" s="1"/>
  <c r="AG32" i="5"/>
  <c r="G41" i="5"/>
  <c r="AG30" i="5"/>
  <c r="T14" i="5" s="1"/>
  <c r="E41" i="5"/>
  <c r="AE32" i="5"/>
  <c r="AE30" i="5"/>
  <c r="R14" i="5" s="1"/>
  <c r="AH32" i="5"/>
  <c r="H41" i="5"/>
  <c r="AH30" i="5"/>
  <c r="U14" i="5" s="1"/>
  <c r="AE33" i="5" l="1"/>
  <c r="AE34" i="5" s="1"/>
  <c r="AL32" i="5"/>
  <c r="AC33" i="5"/>
  <c r="AC34" i="5" s="1"/>
  <c r="AI33" i="5"/>
  <c r="AJ33" i="5"/>
  <c r="AJ34" i="5" s="1"/>
  <c r="AH33" i="5"/>
  <c r="AH34" i="5" s="1"/>
  <c r="AD33" i="5"/>
  <c r="AG33" i="5"/>
  <c r="AF33" i="5"/>
  <c r="AK33" i="5"/>
  <c r="AL30" i="5"/>
  <c r="T16" i="5" l="1"/>
  <c r="AG34" i="5"/>
  <c r="T17" i="5" s="1"/>
  <c r="V16" i="5"/>
  <c r="AI34" i="5"/>
  <c r="V17" i="5" s="1"/>
  <c r="Q16" i="5"/>
  <c r="AD34" i="5"/>
  <c r="Q17" i="5" s="1"/>
  <c r="X16" i="5"/>
  <c r="AK34" i="5"/>
  <c r="X17" i="5" s="1"/>
  <c r="S16" i="5"/>
  <c r="AF34" i="5"/>
  <c r="S17" i="5" s="1"/>
  <c r="P17" i="5"/>
  <c r="P16" i="5"/>
  <c r="U17" i="5"/>
  <c r="U16" i="5"/>
  <c r="W17" i="5"/>
  <c r="W16" i="5"/>
  <c r="R17" i="5"/>
  <c r="R16" i="5"/>
  <c r="Y14" i="5"/>
  <c r="L41" i="5"/>
  <c r="AL33" i="5"/>
  <c r="Y16" i="5" s="1"/>
  <c r="Y1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Ladislav Mička</author>
    <author>Ladislav Mička</author>
  </authors>
  <commentList>
    <comment ref="Y10" authorId="0" shapeId="0" xr:uid="{00000000-0006-0000-0100-000001000000}">
      <text>
        <r>
          <rPr>
            <b/>
            <sz val="9"/>
            <color indexed="81"/>
            <rFont val="Tahoma"/>
            <family val="2"/>
            <charset val="238"/>
          </rPr>
          <t>Typ akustického výkonu</t>
        </r>
        <r>
          <rPr>
            <sz val="9"/>
            <color indexed="81"/>
            <rFont val="Tahoma"/>
            <family val="2"/>
            <charset val="238"/>
          </rPr>
          <t xml:space="preserve">
Určete, zdali budete počítat s lineárním spektrem, nebo budete zadávat spektrum korigované filtrem "A".
Zadejte "</t>
        </r>
        <r>
          <rPr>
            <b/>
            <sz val="9"/>
            <color indexed="81"/>
            <rFont val="Tahoma"/>
            <family val="2"/>
            <charset val="238"/>
          </rPr>
          <t>L</t>
        </r>
        <r>
          <rPr>
            <sz val="9"/>
            <color indexed="81"/>
            <rFont val="Tahoma"/>
            <family val="2"/>
            <charset val="238"/>
          </rPr>
          <t>" - pro výpočet s nekorigovaným spektrem (Lineárním)
Zadejte "</t>
        </r>
        <r>
          <rPr>
            <b/>
            <sz val="9"/>
            <color indexed="81"/>
            <rFont val="Tahoma"/>
            <family val="2"/>
            <charset val="238"/>
          </rPr>
          <t>A</t>
        </r>
        <r>
          <rPr>
            <sz val="9"/>
            <color indexed="81"/>
            <rFont val="Tahoma"/>
            <family val="2"/>
            <charset val="238"/>
          </rPr>
          <t>" - pro výpočet se spektrem, které je již korigováno filtrem "A"</t>
        </r>
      </text>
    </comment>
    <comment ref="K11" authorId="1" shapeId="0" xr:uid="{00000000-0006-0000-0100-000002000000}">
      <text>
        <r>
          <rPr>
            <b/>
            <sz val="9"/>
            <color indexed="81"/>
            <rFont val="Tahoma"/>
            <family val="2"/>
            <charset val="238"/>
          </rPr>
          <t>Tlaková ztráta tlumiče</t>
        </r>
        <r>
          <rPr>
            <sz val="9"/>
            <color indexed="81"/>
            <rFont val="Tahoma"/>
            <family val="2"/>
            <charset val="238"/>
          </rPr>
          <t xml:space="preserve">
Tlaková ztráta tlumiče hluku způsobená prouděním vzduchu při daných podmínkách (průtok, tlak a teplota).</t>
        </r>
      </text>
    </comment>
    <comment ref="N11" authorId="1" shapeId="0" xr:uid="{00000000-0006-0000-0100-000003000000}">
      <text>
        <r>
          <rPr>
            <b/>
            <sz val="9"/>
            <color indexed="81"/>
            <rFont val="Tahoma"/>
            <family val="2"/>
            <charset val="238"/>
          </rPr>
          <t>Výpočtová frekvence</t>
        </r>
        <r>
          <rPr>
            <sz val="9"/>
            <color indexed="81"/>
            <rFont val="Tahoma"/>
            <family val="2"/>
            <charset val="238"/>
          </rPr>
          <t xml:space="preserve">
Standardní rozsah pro výpočty v oktávovém pásmu.</t>
        </r>
      </text>
    </comment>
    <comment ref="B12" authorId="0" shapeId="0" xr:uid="{00000000-0006-0000-0100-000004000000}">
      <text>
        <r>
          <rPr>
            <b/>
            <sz val="9"/>
            <color rgb="FF000000"/>
            <rFont val="Tahoma"/>
            <family val="2"/>
            <charset val="238"/>
          </rPr>
          <t xml:space="preserve">Průtok vzduchu
</t>
        </r>
        <r>
          <rPr>
            <sz val="9"/>
            <color rgb="FF000000"/>
            <rFont val="Tahoma"/>
            <family val="2"/>
            <charset val="238"/>
          </rPr>
          <t>Zadejte průtok vzduchu, který prochází celým tlumičem hluku.</t>
        </r>
      </text>
    </comment>
    <comment ref="N12" authorId="0" shapeId="0" xr:uid="{00000000-0006-0000-0100-000005000000}">
      <text>
        <r>
          <rPr>
            <sz val="9"/>
            <color indexed="81"/>
            <rFont val="Tahoma"/>
            <family val="2"/>
            <charset val="238"/>
          </rPr>
          <t>Akustický výkon zdroje hluku šířený do sacího, resp. výtlačného potrubí vyjádřený ve frekvenčních pásmech f a součtovou hodnotou korigovanou filtrem A.</t>
        </r>
      </text>
    </comment>
    <comment ref="B13" authorId="1" shapeId="0" xr:uid="{00000000-0006-0000-0100-000006000000}">
      <text>
        <r>
          <rPr>
            <b/>
            <sz val="9"/>
            <color indexed="81"/>
            <rFont val="Tahoma"/>
            <family val="2"/>
            <charset val="238"/>
          </rPr>
          <t xml:space="preserve">Šířka potrubí
</t>
        </r>
        <r>
          <rPr>
            <sz val="9"/>
            <color indexed="81"/>
            <rFont val="Tahoma"/>
            <family val="2"/>
            <charset val="238"/>
          </rPr>
          <t xml:space="preserve">Šířka potrubí je rozměr, který musí odpovídat násobkům šířky vybraného elementu. Jedná se zpravidla o vodorovný rozměr. Jednotlivé buňkové tlumiče hluku se skládají vedle sebe na sraz.
</t>
        </r>
      </text>
    </comment>
    <comment ref="N13" authorId="1" shapeId="0" xr:uid="{00000000-0006-0000-0100-000007000000}">
      <text>
        <r>
          <rPr>
            <b/>
            <sz val="9"/>
            <color indexed="81"/>
            <rFont val="Tahoma"/>
            <family val="2"/>
            <charset val="238"/>
          </rPr>
          <t>Vložný útlum hluku</t>
        </r>
        <r>
          <rPr>
            <sz val="9"/>
            <color indexed="81"/>
            <rFont val="Tahoma"/>
            <family val="2"/>
            <charset val="238"/>
          </rPr>
          <t xml:space="preserve">
Rozdíl mezi hladinou akustického výkonu šířeného potrubím bez tlumiče a hladinou akustického výkonu s tlumičem hluku (měřeno ve shodném bodě).
Útlum hluku je zadáván jako kladná hodnota se znaménkem "+".</t>
        </r>
      </text>
    </comment>
    <comment ref="B14" authorId="1" shapeId="0" xr:uid="{00000000-0006-0000-0100-000008000000}">
      <text>
        <r>
          <rPr>
            <b/>
            <sz val="9"/>
            <color indexed="81"/>
            <rFont val="Tahoma"/>
            <family val="2"/>
            <charset val="238"/>
          </rPr>
          <t>Výška potrubí</t>
        </r>
        <r>
          <rPr>
            <sz val="9"/>
            <color indexed="81"/>
            <rFont val="Tahoma"/>
            <family val="2"/>
            <charset val="238"/>
          </rPr>
          <t xml:space="preserve">
Výška potrubí je druhý rozměr potrubí (zpravidla svislý). Výšku je doporučeno je volit v násobcích 500 mm, ve kterých jsou buňkové elementy standardně vyráběny (polotovary skladem).
V případě potřeby je možné zvolit i jinou výšku potrubí. Mějte však na paměti, že doměrky buňkových tlumičů lze provádět v rozsahu výšek 250 až 499 mm.</t>
        </r>
      </text>
    </comment>
    <comment ref="N14" authorId="1" shapeId="0" xr:uid="{00000000-0006-0000-0100-000009000000}">
      <text>
        <r>
          <rPr>
            <sz val="9"/>
            <color indexed="81"/>
            <rFont val="Tahoma"/>
            <family val="2"/>
            <charset val="238"/>
          </rPr>
          <t>Vlastní hluk tlumiče generovaný prouděním vzduchu uvnitř tlumiče, vyjádřený pomocí hladiny akustického výkonu v oktávových pásmech f a součtovou hladinou korigovanou filtrem A.</t>
        </r>
      </text>
    </comment>
    <comment ref="B15" authorId="1" shapeId="0" xr:uid="{00000000-0006-0000-0100-00000A000000}">
      <text>
        <r>
          <rPr>
            <b/>
            <sz val="9"/>
            <color indexed="81"/>
            <rFont val="Tahoma"/>
            <family val="2"/>
            <charset val="238"/>
          </rPr>
          <t xml:space="preserve">Celková délka tlumiče
</t>
        </r>
        <r>
          <rPr>
            <sz val="9"/>
            <color indexed="81"/>
            <rFont val="Tahoma"/>
            <family val="2"/>
            <charset val="238"/>
          </rPr>
          <t>Délka tlumiče, resp. délka potrubí.
Buňkové elementy se standardně vyrábějí v délkách 1000, 1500 a 2000 mm.
Elementy typu G a GH v šířkách 300, 400 a 500 mm jsou z důvodů útlumu 
hluku standardně nabízeny pouze v délkách 2000 mm.
Elementy typu GE jsou z důvodů pevnostní stability vyráběny pouze v délkách 1000 a 1500 mm.
V případě potřeby atypické délky tlumiče kontaktujte naší technickou podporu na www.greif.cz.</t>
        </r>
      </text>
    </comment>
    <comment ref="N15" authorId="1" shapeId="0" xr:uid="{00000000-0006-0000-0100-00000B000000}">
      <text>
        <r>
          <rPr>
            <b/>
            <sz val="9"/>
            <color indexed="81"/>
            <rFont val="Tahoma"/>
            <family val="2"/>
            <charset val="238"/>
          </rPr>
          <t xml:space="preserve">Útlum hluku v potrubí
</t>
        </r>
        <r>
          <rPr>
            <sz val="9"/>
            <color indexed="81"/>
            <rFont val="Tahoma"/>
            <family val="2"/>
            <charset val="238"/>
          </rPr>
          <t>Uživatelsky definovaný, dodatečný útlum hluku, přičtený k útlumu tlumiče.
Lze zadat např. útlum hluku dalším tlumičem, kolenem, dlouhým potrubím apod.
Útlum hluku je zadáván jako kladná hodnota se znaménkem "+".</t>
        </r>
      </text>
    </comment>
    <comment ref="B16" authorId="0" shapeId="0" xr:uid="{00000000-0006-0000-0100-00000C000000}">
      <text>
        <r>
          <rPr>
            <b/>
            <sz val="9"/>
            <color indexed="81"/>
            <rFont val="Tahoma"/>
            <family val="2"/>
            <charset val="238"/>
          </rPr>
          <t>Typ buňkového tlumiče:</t>
        </r>
        <r>
          <rPr>
            <sz val="9"/>
            <color indexed="81"/>
            <rFont val="Tahoma"/>
            <family val="2"/>
            <charset val="238"/>
          </rPr>
          <t xml:space="preserve">
Zadejte typ elementu "G", "GE", nebo "GH".
G - standardní provedení s děrovaným plechem (univerzální)
GE - kašírované provedení (omezené provedení)
GH - speciální provedení (hygienické, omyvatelné)</t>
        </r>
      </text>
    </comment>
    <comment ref="N16" authorId="1" shapeId="0" xr:uid="{00000000-0006-0000-0100-00000D000000}">
      <text>
        <r>
          <rPr>
            <b/>
            <sz val="9"/>
            <color indexed="81"/>
            <rFont val="Tahoma"/>
            <family val="2"/>
            <charset val="238"/>
          </rPr>
          <t>Akustický výkon zatlumeného zdroje</t>
        </r>
        <r>
          <rPr>
            <sz val="9"/>
            <color indexed="81"/>
            <rFont val="Tahoma"/>
            <family val="2"/>
            <charset val="238"/>
          </rPr>
          <t xml:space="preserve">
Výsledný akustický výkon, zahrnující útlum hluku tlumičem DT a uživatelský útlum hluku DP, zhoršený o vlastní hluk tlumiče LWT (proudění vzduchu).
Tato hodnota je akustický výkon a nelze jí porovnávat s hygienicky přípustnými hodnotami hluku. Pro porovnání je nutné akustický výkon přepočítat na akustický tlak. Tento přepočet je závislý na místních podmínkách. Pro přepočet je možné použít výpočty na našich internetových stránkách v sekci Průvodce / Profesionál, nebo kontaktovat naší technickou podporu.
</t>
        </r>
      </text>
    </comment>
    <comment ref="B17" authorId="0" shapeId="0" xr:uid="{00000000-0006-0000-0100-00000E000000}">
      <text>
        <r>
          <rPr>
            <b/>
            <sz val="9"/>
            <color indexed="81"/>
            <rFont val="Tahoma"/>
            <family val="2"/>
            <charset val="238"/>
          </rPr>
          <t>Šířka buňkového tlumiče</t>
        </r>
        <r>
          <rPr>
            <sz val="9"/>
            <color indexed="81"/>
            <rFont val="Tahoma"/>
            <family val="2"/>
            <charset val="238"/>
          </rPr>
          <t xml:space="preserve">
Zadejte šířku elementu 200, 250, 300, 400 nebo 500 mm.
Elementy š = 200 a 250 mm
Požívají se zpravidla pro základní tlumení hluku, nebo pro dotlumení jako druhý stupeň v kombinace s elementy 400 a 500 mm.
Elementy š = 400 a 500 mm
Používají se pro tlumení nízkých kmitočtů, např. jako první stupeň tlumiče za VZT jednotkou.
Element š = 300 mm
Univerzální element pro tlumení nízkých i vysokých kmitočtů.
V případě, že potřebujete atypický rozměr, kontaktujte naší technickou podporu (www.greif.cz).</t>
        </r>
      </text>
    </comment>
    <comment ref="N17" authorId="1" shapeId="0" xr:uid="{00000000-0006-0000-0100-00000F000000}">
      <text>
        <r>
          <rPr>
            <b/>
            <sz val="9"/>
            <color indexed="81"/>
            <rFont val="Tahoma"/>
            <family val="2"/>
            <charset val="238"/>
          </rPr>
          <t>Celkový dosažený útlum hluku</t>
        </r>
        <r>
          <rPr>
            <sz val="9"/>
            <color indexed="81"/>
            <rFont val="Tahoma"/>
            <family val="2"/>
            <charset val="238"/>
          </rPr>
          <t xml:space="preserve">
Útlum hluku dosažený tlumičem DT a potrubní trasou DP, zhoršený o vlastní hluk tlumiče LWT.
</t>
        </r>
        <r>
          <rPr>
            <b/>
            <sz val="9"/>
            <color indexed="81"/>
            <rFont val="Tahoma"/>
            <family val="2"/>
            <charset val="238"/>
          </rPr>
          <t>Dc = LWz - LWc</t>
        </r>
        <r>
          <rPr>
            <sz val="9"/>
            <color indexed="81"/>
            <rFont val="Tahoma"/>
            <family val="2"/>
            <charset val="238"/>
          </rPr>
          <t xml:space="preserve">
V případě, že je útlum hluku záporný "-", dochází na příslušné frekvenci k zesílení vlivem vlastního hluku tlumiče.</t>
        </r>
      </text>
    </comment>
    <comment ref="B18" authorId="1" shapeId="0" xr:uid="{00000000-0006-0000-0100-000010000000}">
      <text>
        <r>
          <rPr>
            <b/>
            <sz val="9"/>
            <color indexed="81"/>
            <rFont val="Tahoma"/>
            <family val="2"/>
            <charset val="238"/>
          </rPr>
          <t xml:space="preserve">Součinitel místní tlakové ztráty
</t>
        </r>
        <r>
          <rPr>
            <sz val="9"/>
            <color indexed="81"/>
            <rFont val="Tahoma"/>
            <family val="2"/>
            <charset val="238"/>
          </rPr>
          <t xml:space="preserve">Součinitel místní tlakové ztráty určuje provedení náběhu na buňkovém tlumiči.
0,1 = ostrý náběh
1,0 = tupý náběh
</t>
        </r>
      </text>
    </comment>
    <comment ref="B19" authorId="1" shapeId="0" xr:uid="{00000000-0006-0000-0100-000011000000}">
      <text>
        <r>
          <rPr>
            <b/>
            <sz val="9"/>
            <color indexed="81"/>
            <rFont val="Tahoma"/>
            <family val="2"/>
            <charset val="238"/>
          </rPr>
          <t xml:space="preserve">Součinitel místní tlakové ztráty
</t>
        </r>
        <r>
          <rPr>
            <sz val="9"/>
            <color indexed="81"/>
            <rFont val="Tahoma"/>
            <family val="2"/>
            <charset val="238"/>
          </rPr>
          <t>Součinitel místní tlakové ztráty určuje provedení výběhu na buňkovém tlumiči.
0,7 = ostrý výběh
1,0 = tupý výběh</t>
        </r>
      </text>
    </comment>
    <comment ref="B20" authorId="0" shapeId="0" xr:uid="{00000000-0006-0000-0100-000012000000}">
      <text>
        <r>
          <rPr>
            <b/>
            <sz val="9"/>
            <color indexed="81"/>
            <rFont val="Tahoma"/>
            <family val="2"/>
            <charset val="238"/>
          </rPr>
          <t xml:space="preserve">Teplota vzduchu
</t>
        </r>
        <r>
          <rPr>
            <sz val="9"/>
            <color indexed="81"/>
            <rFont val="Tahoma"/>
            <family val="2"/>
            <charset val="238"/>
          </rPr>
          <t xml:space="preserve">Teplota vzduchu na vstupu do tlumiče hluku.
</t>
        </r>
      </text>
    </comment>
    <comment ref="B21" authorId="0" shapeId="0" xr:uid="{00000000-0006-0000-0100-000013000000}">
      <text>
        <r>
          <rPr>
            <b/>
            <sz val="9"/>
            <color indexed="81"/>
            <rFont val="Tahoma"/>
            <family val="2"/>
            <charset val="238"/>
          </rPr>
          <t xml:space="preserve">Statický tlak v potrubí
</t>
        </r>
        <r>
          <rPr>
            <sz val="9"/>
            <color indexed="81"/>
            <rFont val="Tahoma"/>
            <family val="2"/>
            <charset val="238"/>
          </rPr>
          <t xml:space="preserve">Statický tlak v potrubí v místě tlumiče hluku.
</t>
        </r>
      </text>
    </comment>
    <comment ref="B22" authorId="0" shapeId="0" xr:uid="{00000000-0006-0000-0100-000014000000}">
      <text>
        <r>
          <rPr>
            <b/>
            <sz val="9"/>
            <color indexed="81"/>
            <rFont val="Tahoma"/>
            <family val="2"/>
            <charset val="238"/>
          </rPr>
          <t>Rezerva na místní podmínky</t>
        </r>
        <r>
          <rPr>
            <sz val="9"/>
            <color indexed="81"/>
            <rFont val="Tahoma"/>
            <family val="2"/>
            <charset val="238"/>
          </rPr>
          <t xml:space="preserve">
Zadejte rezervu ve výpočtu tlakové ztráty v [%].
Doporučené rezervy:
0% - ideální rovnoměrné zaplavení (téměř se nevyskytuje, např. laboratoř);
20% - standardní reserva (běžná vzduchotechnika);
40% - umístění tlumiče za kolenem (špatné zaplavení).</t>
        </r>
      </text>
    </comment>
    <comment ref="A40" authorId="1" shapeId="0" xr:uid="{00000000-0006-0000-0100-000015000000}">
      <text>
        <r>
          <rPr>
            <b/>
            <sz val="9"/>
            <color indexed="81"/>
            <rFont val="Tahoma"/>
            <family val="2"/>
            <charset val="238"/>
          </rPr>
          <t>Výpočtová frekvence</t>
        </r>
        <r>
          <rPr>
            <sz val="9"/>
            <color indexed="81"/>
            <rFont val="Tahoma"/>
            <family val="2"/>
            <charset val="238"/>
          </rPr>
          <t xml:space="preserve">
Standardní rozsah pro výpočty v oktávovém pásmu.</t>
        </r>
      </text>
    </comment>
    <comment ref="L40" authorId="0" shapeId="0" xr:uid="{00000000-0006-0000-0100-000016000000}">
      <text>
        <r>
          <rPr>
            <b/>
            <sz val="9"/>
            <color indexed="81"/>
            <rFont val="Tahoma"/>
            <family val="2"/>
            <charset val="238"/>
          </rPr>
          <t>Vlastní hluk tlumiče</t>
        </r>
        <r>
          <rPr>
            <sz val="9"/>
            <color indexed="81"/>
            <rFont val="Tahoma"/>
            <family val="2"/>
            <charset val="238"/>
          </rPr>
          <t xml:space="preserve">
Součtová hladina akustického výkonu vlastního hluku tlumiče korigovaná filtrem "A".</t>
        </r>
      </text>
    </comment>
    <comment ref="A41" authorId="1" shapeId="0" xr:uid="{00000000-0006-0000-0100-000017000000}">
      <text>
        <r>
          <rPr>
            <b/>
            <sz val="9"/>
            <color indexed="81"/>
            <rFont val="Tahoma"/>
            <family val="2"/>
            <charset val="238"/>
          </rPr>
          <t xml:space="preserve">Vlastní hluk tlumiče
</t>
        </r>
        <r>
          <rPr>
            <sz val="9"/>
            <color indexed="81"/>
            <rFont val="Tahoma"/>
            <family val="2"/>
            <charset val="238"/>
          </rPr>
          <t>Hluk generovaný prouděním vzduchu uvnitř tlumiče, vyjádřený pomocí hladiny akustického výkonu v oktávových pásmech.</t>
        </r>
      </text>
    </comment>
    <comment ref="A44" authorId="1" shapeId="0" xr:uid="{00000000-0006-0000-0100-000018000000}">
      <text>
        <r>
          <rPr>
            <b/>
            <sz val="9"/>
            <color indexed="81"/>
            <rFont val="Tahoma"/>
            <family val="2"/>
            <charset val="238"/>
          </rPr>
          <t>Výpočtová frekvence</t>
        </r>
        <r>
          <rPr>
            <sz val="9"/>
            <color indexed="81"/>
            <rFont val="Tahoma"/>
            <family val="2"/>
            <charset val="238"/>
          </rPr>
          <t xml:space="preserve">
Standardní rozsah pro výpočty v oktávovém pásmu.</t>
        </r>
      </text>
    </comment>
    <comment ref="L44" authorId="0" shapeId="0" xr:uid="{00000000-0006-0000-0100-000019000000}">
      <text>
        <r>
          <rPr>
            <b/>
            <sz val="9"/>
            <color indexed="81"/>
            <rFont val="Tahoma"/>
            <family val="2"/>
            <charset val="238"/>
          </rPr>
          <t>Hmotnost buňkového elementu</t>
        </r>
        <r>
          <rPr>
            <sz val="9"/>
            <color indexed="81"/>
            <rFont val="Tahoma"/>
            <family val="2"/>
            <charset val="238"/>
          </rPr>
          <t xml:space="preserve">
Hmotnost jedné buňky s tolerancí 10%.</t>
        </r>
      </text>
    </comment>
    <comment ref="Q44" authorId="1" shapeId="0" xr:uid="{00000000-0006-0000-0100-00001A000000}">
      <text>
        <r>
          <rPr>
            <b/>
            <sz val="9"/>
            <color indexed="81"/>
            <rFont val="Tahoma"/>
            <family val="2"/>
            <charset val="238"/>
          </rPr>
          <t>Instalační rozměr potrubí</t>
        </r>
        <r>
          <rPr>
            <sz val="9"/>
            <color indexed="81"/>
            <rFont val="Tahoma"/>
            <family val="2"/>
            <charset val="238"/>
          </rPr>
          <t xml:space="preserve">
Rozměr potrubí pro instalaci buňkových tlumičů hluku.
Požadavek na dodávku buněk v plášti je nutné uplatnit v objednávce.</t>
        </r>
      </text>
    </comment>
    <comment ref="W44" authorId="0" shapeId="0" xr:uid="{00000000-0006-0000-0100-00001B000000}">
      <text>
        <r>
          <rPr>
            <b/>
            <sz val="9"/>
            <color indexed="81"/>
            <rFont val="Tahoma"/>
            <family val="2"/>
            <charset val="238"/>
          </rPr>
          <t xml:space="preserve">Počet buněk v tlumiči
</t>
        </r>
        <r>
          <rPr>
            <sz val="9"/>
            <color indexed="81"/>
            <rFont val="Tahoma"/>
            <family val="2"/>
            <charset val="238"/>
          </rPr>
          <t xml:space="preserve">Určuje počet elementů, které jsou zapotřebí pro sestavení tlumiče hluku v celém jeho průtočném profilu.
</t>
        </r>
      </text>
    </comment>
    <comment ref="A45" authorId="1" shapeId="0" xr:uid="{00000000-0006-0000-0100-00001C000000}">
      <text>
        <r>
          <rPr>
            <b/>
            <sz val="9"/>
            <color indexed="81"/>
            <rFont val="Tahoma"/>
            <family val="2"/>
            <charset val="238"/>
          </rPr>
          <t>Vložný útlum hluku</t>
        </r>
        <r>
          <rPr>
            <sz val="9"/>
            <color indexed="81"/>
            <rFont val="Tahoma"/>
            <family val="2"/>
            <charset val="238"/>
          </rPr>
          <t xml:space="preserve">
Rozdíl mezi hladinou akustického výkonu šířeného potrubím bez tlumiče a hladinou akustického výkonu s tlumičem hluku (měřeno ve shodném bodě). Útlumy hluku jsou stanoveny pro teplotní rozsah -20 až +50°C.
Útlumy hluku tlumičů v délce nad 2000 mm jsou dostupné na vyžádání. Kontaktujte technickou podporu na www.greif.cz.</t>
        </r>
      </text>
    </comment>
    <comment ref="Q45" authorId="1" shapeId="0" xr:uid="{00000000-0006-0000-0100-00001D000000}">
      <text>
        <r>
          <rPr>
            <b/>
            <sz val="9"/>
            <color indexed="81"/>
            <rFont val="Tahoma"/>
            <family val="2"/>
            <charset val="238"/>
          </rPr>
          <t>Objednávkový kód tlumiče</t>
        </r>
        <r>
          <rPr>
            <sz val="9"/>
            <color indexed="81"/>
            <rFont val="Tahoma"/>
            <family val="2"/>
            <charset val="238"/>
          </rPr>
          <t xml:space="preserve">
Uvedeno pouze pro standardní elementy dle interních standardů ITS101-01, ITS102-01 a ITS103-01.
V případě atypické výšky je uvedeno "Atypický rozměr". V tomto případě doporučujeme kontaktovat naše obchodní oddělení a nechat si zpracovat individuální nabídku (www.greif.cz).</t>
        </r>
      </text>
    </comment>
    <comment ref="W45" authorId="0" shapeId="0" xr:uid="{00000000-0006-0000-0100-00001E000000}">
      <text>
        <r>
          <rPr>
            <b/>
            <sz val="9"/>
            <color indexed="81"/>
            <rFont val="Tahoma"/>
            <family val="2"/>
            <charset val="238"/>
          </rPr>
          <t xml:space="preserve">Hmotnost buněk bez potrubí
</t>
        </r>
        <r>
          <rPr>
            <sz val="9"/>
            <color indexed="81"/>
            <rFont val="Tahoma"/>
            <family val="2"/>
            <charset val="238"/>
          </rPr>
          <t xml:space="preserve">Hmotnost všech buňkových tlumičů hluku bez potrubí (pouze vestavba).
</t>
        </r>
      </text>
    </comment>
    <comment ref="A46" authorId="1" shapeId="0" xr:uid="{00000000-0006-0000-0100-00001F000000}">
      <text>
        <r>
          <rPr>
            <b/>
            <sz val="9"/>
            <color indexed="81"/>
            <rFont val="Tahoma"/>
            <family val="2"/>
            <charset val="238"/>
          </rPr>
          <t xml:space="preserve">Rozšířená směrodatná odchylka reprodukovatelnosti
</t>
        </r>
        <r>
          <rPr>
            <sz val="9"/>
            <color indexed="81"/>
            <rFont val="Tahoma"/>
            <family val="2"/>
            <charset val="238"/>
          </rPr>
          <t>Nejistota měření stanovená dle ČSN EN ISO 5136 Akustika - Určování hladin akustického výkonu vyzařovaného do potrubí… Směrodatná odchylka přihlíží ke společnému působení všech příčin majících vliv na přesnost měření. Při normálním statistickém rozdělení dat leží 95 % měřených výsledků právě v rozmezí 2sigR. Je na projektantovi, jak posoudí rizikovaost instalace a jakou míru rizika do výpočtu zapracuje.</t>
        </r>
      </text>
    </comment>
    <comment ref="W46" authorId="0" shapeId="0" xr:uid="{00000000-0006-0000-0100-000020000000}">
      <text>
        <r>
          <rPr>
            <b/>
            <sz val="9"/>
            <color indexed="81"/>
            <rFont val="Tahoma"/>
            <family val="2"/>
            <charset val="238"/>
          </rPr>
          <t xml:space="preserve">Celková cena buněk
</t>
        </r>
        <r>
          <rPr>
            <sz val="9"/>
            <color indexed="81"/>
            <rFont val="Tahoma"/>
            <family val="2"/>
            <charset val="238"/>
          </rPr>
          <t>Jedná se o celkovou cenu za všechny elementy v tlumiči.
Cenu za kus získáte podělením ceny počtem buněk v tlumiči.
Cena je brutto v Kč, bez DPH, EXW Uhlířské Janovice, nebo Praha.
O výši rabatu se prosím informujte (www.greif.cz).
V ceně není zahrnuta cena potrubí.</t>
        </r>
      </text>
    </comment>
  </commentList>
</comments>
</file>

<file path=xl/sharedStrings.xml><?xml version="1.0" encoding="utf-8"?>
<sst xmlns="http://schemas.openxmlformats.org/spreadsheetml/2006/main" count="255" uniqueCount="160">
  <si>
    <t>=</t>
  </si>
  <si>
    <t>Q</t>
  </si>
  <si>
    <t>S</t>
  </si>
  <si>
    <t>a</t>
  </si>
  <si>
    <t>b</t>
  </si>
  <si>
    <t>c</t>
  </si>
  <si>
    <t>n</t>
  </si>
  <si>
    <t>w</t>
  </si>
  <si>
    <t>f</t>
  </si>
  <si>
    <t>L</t>
  </si>
  <si>
    <t>s</t>
  </si>
  <si>
    <t>Ma</t>
  </si>
  <si>
    <t>p</t>
  </si>
  <si>
    <t>H</t>
  </si>
  <si>
    <t>delta</t>
  </si>
  <si>
    <t>B</t>
  </si>
  <si>
    <t>G</t>
  </si>
  <si>
    <t>ro</t>
  </si>
  <si>
    <t>res</t>
  </si>
  <si>
    <t>(volte rozměry: 200, 250, 400 a 500)</t>
  </si>
  <si>
    <t>typ</t>
  </si>
  <si>
    <t>t</t>
  </si>
  <si>
    <t>š</t>
  </si>
  <si>
    <t>Tlaková ztráta:</t>
  </si>
  <si>
    <t>Vlastní hluk:</t>
  </si>
  <si>
    <t>celkový průtok vzduchu tlumičem</t>
  </si>
  <si>
    <t>šířka potrubí (odpovídá násobkům šířky buňky)</t>
  </si>
  <si>
    <t>hustota vzduchu</t>
  </si>
  <si>
    <t>součinitel tlakové ztráty třením v tlumiči</t>
  </si>
  <si>
    <t>Machovo číslo</t>
  </si>
  <si>
    <t>největší příčný rozměr potrubí</t>
  </si>
  <si>
    <t>spektrální obsah vysokých kmitočtů</t>
  </si>
  <si>
    <t>referenční výkon</t>
  </si>
  <si>
    <t>konstanta tlumiče</t>
  </si>
  <si>
    <t>počet buněk v řadě vedle sebe (= a/š)</t>
  </si>
  <si>
    <t>průtočná mezera v buňce</t>
  </si>
  <si>
    <t>šířka buňky (200, 250, 300, 400, 500)</t>
  </si>
  <si>
    <t>součinitel tlakové ztráty pro náběh a výběh</t>
  </si>
  <si>
    <t>teplota vzduchu (-50 až 200°C)</t>
  </si>
  <si>
    <t>statický tlak v potrubí (98000 až 110000 Pa)</t>
  </si>
  <si>
    <t>Zadejte název projektu</t>
  </si>
  <si>
    <t>Zadejte název tlumiče</t>
  </si>
  <si>
    <t>rychlost zvuku ve vzduchu při teplotě t</t>
  </si>
  <si>
    <t>Výpočet je proveden dle ČSN EN ISO 14163, odhad nepřesnosti ± 3 dB</t>
  </si>
  <si>
    <t>Výpočet je proveden dle ČSN EN ISO 14163, odhad nepřesnosti ± 10%</t>
  </si>
  <si>
    <t>rychlost proudění vzduchu v profilu a x b</t>
  </si>
  <si>
    <t>-</t>
  </si>
  <si>
    <t>A</t>
  </si>
  <si>
    <r>
      <t>w</t>
    </r>
    <r>
      <rPr>
        <b/>
        <sz val="8"/>
        <rFont val="Arial Narrow"/>
        <family val="2"/>
        <charset val="238"/>
      </rPr>
      <t>i</t>
    </r>
  </si>
  <si>
    <r>
      <t>D</t>
    </r>
    <r>
      <rPr>
        <b/>
        <sz val="8"/>
        <rFont val="Arial Narrow"/>
        <family val="2"/>
        <charset val="238"/>
      </rPr>
      <t>T</t>
    </r>
  </si>
  <si>
    <r>
      <t>D</t>
    </r>
    <r>
      <rPr>
        <b/>
        <sz val="8"/>
        <rFont val="Arial Narrow"/>
        <family val="2"/>
        <charset val="238"/>
      </rPr>
      <t>P</t>
    </r>
  </si>
  <si>
    <t>Zadejte žlutá pole, nebo vepište poznámky…</t>
  </si>
  <si>
    <r>
      <t>dz</t>
    </r>
    <r>
      <rPr>
        <b/>
        <sz val="8"/>
        <rFont val="Arial Narrow"/>
        <family val="2"/>
        <charset val="238"/>
      </rPr>
      <t>1</t>
    </r>
  </si>
  <si>
    <r>
      <t>dz</t>
    </r>
    <r>
      <rPr>
        <b/>
        <sz val="8"/>
        <rFont val="Arial Narrow"/>
        <family val="2"/>
        <charset val="238"/>
      </rPr>
      <t>2</t>
    </r>
  </si>
  <si>
    <r>
      <t>bez náběhu dz</t>
    </r>
    <r>
      <rPr>
        <sz val="8"/>
        <rFont val="Arial Narrow"/>
        <family val="2"/>
        <charset val="238"/>
      </rPr>
      <t>1</t>
    </r>
    <r>
      <rPr>
        <sz val="12"/>
        <rFont val="Arial Narrow"/>
        <family val="2"/>
        <charset val="238"/>
      </rPr>
      <t>=1, s náběhem dz</t>
    </r>
    <r>
      <rPr>
        <sz val="8"/>
        <rFont val="Arial Narrow"/>
        <family val="2"/>
        <charset val="238"/>
      </rPr>
      <t>1</t>
    </r>
    <r>
      <rPr>
        <sz val="12"/>
        <rFont val="Arial Narrow"/>
        <family val="2"/>
        <charset val="238"/>
      </rPr>
      <t>=0,1</t>
    </r>
  </si>
  <si>
    <r>
      <t>bez výběhu dz</t>
    </r>
    <r>
      <rPr>
        <sz val="8"/>
        <rFont val="Arial Narrow"/>
        <family val="2"/>
        <charset val="238"/>
      </rPr>
      <t>2</t>
    </r>
    <r>
      <rPr>
        <sz val="12"/>
        <rFont val="Arial Narrow"/>
        <family val="2"/>
        <charset val="238"/>
      </rPr>
      <t>=1, s výběhem dz</t>
    </r>
    <r>
      <rPr>
        <sz val="8"/>
        <rFont val="Arial Narrow"/>
        <family val="2"/>
        <charset val="238"/>
      </rPr>
      <t>2</t>
    </r>
    <r>
      <rPr>
        <sz val="12"/>
        <rFont val="Arial Narrow"/>
        <family val="2"/>
        <charset val="238"/>
      </rPr>
      <t>=0,7</t>
    </r>
  </si>
  <si>
    <r>
      <t>dz</t>
    </r>
    <r>
      <rPr>
        <b/>
        <sz val="8"/>
        <rFont val="Arial Narrow"/>
        <family val="2"/>
        <charset val="238"/>
      </rPr>
      <t>f</t>
    </r>
  </si>
  <si>
    <r>
      <t>dz</t>
    </r>
    <r>
      <rPr>
        <b/>
        <sz val="8"/>
        <rFont val="Arial Narrow"/>
        <family val="2"/>
        <charset val="238"/>
      </rPr>
      <t>s</t>
    </r>
  </si>
  <si>
    <r>
      <t>dz</t>
    </r>
    <r>
      <rPr>
        <b/>
        <sz val="8"/>
        <rFont val="Arial Narrow"/>
        <family val="2"/>
        <charset val="238"/>
      </rPr>
      <t>c</t>
    </r>
  </si>
  <si>
    <r>
      <t>W</t>
    </r>
    <r>
      <rPr>
        <b/>
        <sz val="8"/>
        <rFont val="Arial Narrow"/>
        <family val="2"/>
        <charset val="238"/>
      </rPr>
      <t>0</t>
    </r>
  </si>
  <si>
    <t>G200x500x1000</t>
  </si>
  <si>
    <t>G200x500x1500</t>
  </si>
  <si>
    <t>G200x500x2000</t>
  </si>
  <si>
    <t>G250x500x1000</t>
  </si>
  <si>
    <t>G250x500x1500</t>
  </si>
  <si>
    <t>G250x500x2000</t>
  </si>
  <si>
    <t>G300x500x2000</t>
  </si>
  <si>
    <t>G400x500x2000</t>
  </si>
  <si>
    <t>G500x500x2000</t>
  </si>
  <si>
    <t>GE200x500x1000</t>
  </si>
  <si>
    <t>GE200x500x1500</t>
  </si>
  <si>
    <t>GE250x500x1000</t>
  </si>
  <si>
    <t>GE250x500x1500</t>
  </si>
  <si>
    <t>GE300x500x1000</t>
  </si>
  <si>
    <t>GE300x500x1500</t>
  </si>
  <si>
    <t>GE</t>
  </si>
  <si>
    <t>Data pro návrh buňkových tlumičů</t>
  </si>
  <si>
    <t>Typ</t>
  </si>
  <si>
    <t>Šířka</t>
  </si>
  <si>
    <t>Stěna</t>
  </si>
  <si>
    <t>Geometrie tlumičů:</t>
  </si>
  <si>
    <t>zadejte typ tlumiče "G", "GE" nebo "GH"</t>
  </si>
  <si>
    <t>Délka</t>
  </si>
  <si>
    <t>GH200x500x1000</t>
  </si>
  <si>
    <t>GH200x500x1500</t>
  </si>
  <si>
    <t>GH200x500x2000</t>
  </si>
  <si>
    <t>GH250x500x1000</t>
  </si>
  <si>
    <t>GH250x500x1500</t>
  </si>
  <si>
    <t>GH250x500x2000</t>
  </si>
  <si>
    <t>GH300x500x2000</t>
  </si>
  <si>
    <t>GH400x500x2000</t>
  </si>
  <si>
    <t>GH500x500x2000</t>
  </si>
  <si>
    <t>Korekční křivka:</t>
  </si>
  <si>
    <t>Závěrečné shrnutí výsledků:</t>
  </si>
  <si>
    <t>2sigR</t>
  </si>
  <si>
    <t>M</t>
  </si>
  <si>
    <t>Útlum a váha buňkového tlumiče:</t>
  </si>
  <si>
    <r>
      <t>D</t>
    </r>
    <r>
      <rPr>
        <b/>
        <sz val="8"/>
        <rFont val="Arial Narrow"/>
        <family val="2"/>
        <charset val="238"/>
      </rPr>
      <t>C</t>
    </r>
  </si>
  <si>
    <t>Počet buňek v tlumiči</t>
  </si>
  <si>
    <t>Váha</t>
  </si>
  <si>
    <r>
      <t>dp</t>
    </r>
    <r>
      <rPr>
        <b/>
        <sz val="8"/>
        <rFont val="Arial Narrow"/>
        <family val="2"/>
        <charset val="238"/>
      </rPr>
      <t>t</t>
    </r>
  </si>
  <si>
    <t>rezerva na místní podmínky</t>
  </si>
  <si>
    <r>
      <t>D</t>
    </r>
    <r>
      <rPr>
        <sz val="8"/>
        <rFont val="Arial Narrow"/>
        <family val="2"/>
        <charset val="238"/>
      </rPr>
      <t>T</t>
    </r>
  </si>
  <si>
    <t>SUM</t>
  </si>
  <si>
    <t>Zatlumení zdroje - koncepce výpočtu:</t>
  </si>
  <si>
    <t>Hladiny hluku:</t>
  </si>
  <si>
    <t>Data katalog:</t>
  </si>
  <si>
    <t>Podmínky výběru:</t>
  </si>
  <si>
    <r>
      <t>L</t>
    </r>
    <r>
      <rPr>
        <sz val="9"/>
        <rFont val="Arial Narrow"/>
        <family val="2"/>
        <charset val="238"/>
      </rPr>
      <t>WZ-A</t>
    </r>
  </si>
  <si>
    <r>
      <t>L</t>
    </r>
    <r>
      <rPr>
        <sz val="8"/>
        <rFont val="Arial Narrow"/>
        <family val="2"/>
        <charset val="238"/>
      </rPr>
      <t>WT-A</t>
    </r>
  </si>
  <si>
    <r>
      <t>D</t>
    </r>
    <r>
      <rPr>
        <sz val="8"/>
        <rFont val="Arial Narrow"/>
        <family val="2"/>
        <charset val="238"/>
      </rPr>
      <t>P</t>
    </r>
  </si>
  <si>
    <r>
      <t>L</t>
    </r>
    <r>
      <rPr>
        <sz val="8"/>
        <rFont val="Arial Narrow"/>
        <family val="2"/>
        <charset val="238"/>
      </rPr>
      <t>WC-A</t>
    </r>
  </si>
  <si>
    <r>
      <t>D</t>
    </r>
    <r>
      <rPr>
        <sz val="8"/>
        <rFont val="Arial Narrow"/>
        <family val="2"/>
        <charset val="238"/>
      </rPr>
      <t>C</t>
    </r>
  </si>
  <si>
    <t>Graf - [dB / Hz]:</t>
  </si>
  <si>
    <t>Zatlumení zdroje - výpočet:</t>
  </si>
  <si>
    <t>Podmínky výběru DT:</t>
  </si>
  <si>
    <t>Označení tlumiče</t>
  </si>
  <si>
    <t>GH</t>
  </si>
  <si>
    <t>Ozačení tlumiče:</t>
  </si>
  <si>
    <t>délka tlumiče (1000, 1500 nebo 2000), atypy na vyžádání</t>
  </si>
  <si>
    <t>výška potrubí (skladem v násobcích 500 mm)</t>
  </si>
  <si>
    <t>Návrh buňkových tlumičů G / GE / GH</t>
  </si>
  <si>
    <t>Hmotnost bez potrubí</t>
  </si>
  <si>
    <t>Instalační rozměr potrubí</t>
  </si>
  <si>
    <t>Cena</t>
  </si>
  <si>
    <t>Cena tlumiče:</t>
  </si>
  <si>
    <t>mm</t>
  </si>
  <si>
    <t>°C</t>
  </si>
  <si>
    <t>Pa</t>
  </si>
  <si>
    <t>%</t>
  </si>
  <si>
    <t>m/s</t>
  </si>
  <si>
    <t>W</t>
  </si>
  <si>
    <t>dB</t>
  </si>
  <si>
    <t>ks</t>
  </si>
  <si>
    <t>m</t>
  </si>
  <si>
    <t>kg/ks</t>
  </si>
  <si>
    <t>Hz</t>
  </si>
  <si>
    <t>Kč/ks</t>
  </si>
  <si>
    <t>dBA</t>
  </si>
  <si>
    <r>
      <t>celkový součinitel tlakové ztráty tlumiče (dz</t>
    </r>
    <r>
      <rPr>
        <sz val="8"/>
        <rFont val="Arial Narrow"/>
        <family val="2"/>
        <charset val="238"/>
      </rPr>
      <t>s</t>
    </r>
    <r>
      <rPr>
        <sz val="12"/>
        <rFont val="Arial Narrow"/>
        <family val="2"/>
        <charset val="238"/>
      </rPr>
      <t>+dz</t>
    </r>
    <r>
      <rPr>
        <sz val="8"/>
        <rFont val="Arial Narrow"/>
        <family val="2"/>
        <charset val="238"/>
      </rPr>
      <t>f</t>
    </r>
    <r>
      <rPr>
        <sz val="12"/>
        <rFont val="Arial Narrow"/>
        <family val="2"/>
        <charset val="238"/>
      </rPr>
      <t>)</t>
    </r>
  </si>
  <si>
    <r>
      <t>L</t>
    </r>
    <r>
      <rPr>
        <b/>
        <sz val="8"/>
        <rFont val="Arial Narrow"/>
        <family val="2"/>
        <charset val="238"/>
      </rPr>
      <t>WT-Lin</t>
    </r>
  </si>
  <si>
    <r>
      <t>L</t>
    </r>
    <r>
      <rPr>
        <sz val="9"/>
        <rFont val="Arial Narrow"/>
        <family val="2"/>
        <charset val="238"/>
      </rPr>
      <t>WZ-Lin</t>
    </r>
  </si>
  <si>
    <r>
      <t>L</t>
    </r>
    <r>
      <rPr>
        <sz val="8"/>
        <rFont val="Arial Narrow"/>
        <family val="2"/>
        <charset val="238"/>
      </rPr>
      <t>WT-Lin</t>
    </r>
  </si>
  <si>
    <r>
      <t>L</t>
    </r>
    <r>
      <rPr>
        <sz val="8"/>
        <rFont val="Arial Narrow"/>
        <family val="2"/>
        <charset val="238"/>
      </rPr>
      <t>WC-Lin</t>
    </r>
  </si>
  <si>
    <r>
      <t>Zadejte tvar hlukového spektra (</t>
    </r>
    <r>
      <rPr>
        <b/>
        <sz val="12"/>
        <rFont val="Arial Narrow"/>
        <family val="2"/>
        <charset val="238"/>
      </rPr>
      <t xml:space="preserve">L = </t>
    </r>
    <r>
      <rPr>
        <sz val="12"/>
        <rFont val="Arial Narrow"/>
        <family val="2"/>
        <charset val="238"/>
      </rPr>
      <t xml:space="preserve">lineární, </t>
    </r>
    <r>
      <rPr>
        <b/>
        <sz val="12"/>
        <rFont val="Arial Narrow"/>
        <family val="2"/>
        <charset val="238"/>
      </rPr>
      <t>A</t>
    </r>
    <r>
      <rPr>
        <sz val="12"/>
        <rFont val="Arial Narrow"/>
        <family val="2"/>
        <charset val="238"/>
      </rPr>
      <t xml:space="preserve"> = korigované)</t>
    </r>
  </si>
  <si>
    <t>Popis výpočtu:</t>
  </si>
  <si>
    <t>Kontakt:</t>
  </si>
  <si>
    <t>ITS101-01 - Buňkové tlumiče hluku GE (kašírované provedení)
ITS102-01 - Buňkové tlumiče hluku G (provedení s děrovaným plechem)
ITS103-01 - Buňkové tlumiče hluku GH (hygienické provedení)</t>
  </si>
  <si>
    <t>Odkaz na projekční katalogy (www.greif.cz):</t>
  </si>
  <si>
    <t>Nejistota výpočtu:</t>
  </si>
  <si>
    <t>Brutto cena buňkových tlumičů bez potrubí (bez DPH, EXW Uhlířské Janovice)</t>
  </si>
  <si>
    <t>plocha nejmenšího průtočného průřezu buňkového tlumiče</t>
  </si>
  <si>
    <t>Check:</t>
  </si>
  <si>
    <r>
      <t>m</t>
    </r>
    <r>
      <rPr>
        <vertAlign val="superscript"/>
        <sz val="10"/>
        <rFont val="Arial Narrow"/>
        <family val="2"/>
        <charset val="238"/>
      </rPr>
      <t>3</t>
    </r>
    <r>
      <rPr>
        <sz val="10"/>
        <rFont val="Arial Narrow"/>
        <family val="2"/>
        <charset val="238"/>
      </rPr>
      <t>/h</t>
    </r>
  </si>
  <si>
    <r>
      <t>kg/m</t>
    </r>
    <r>
      <rPr>
        <vertAlign val="superscript"/>
        <sz val="10"/>
        <rFont val="Arial Narrow"/>
        <family val="2"/>
        <charset val="238"/>
      </rPr>
      <t>3</t>
    </r>
  </si>
  <si>
    <r>
      <t>m</t>
    </r>
    <r>
      <rPr>
        <vertAlign val="superscript"/>
        <sz val="10"/>
        <rFont val="Arial Narrow"/>
        <family val="2"/>
        <charset val="238"/>
      </rPr>
      <t>2</t>
    </r>
  </si>
  <si>
    <t>V září 2018 skončilo přechodné období a vešla v platnost nová, výrazně aktualizovaná norma ČSN EN ISO 9001:2016, která je základním kamenem kvality pro všechny seriózní výrobce. Hlavní změnou je mj. řízení rizik.
Z těchto důvodů uvádíme s útlumem hluku skutečnou odchylku. V oblasti metrologie se nejedná o nic nového, ale u prezentování katalogových hodnot útlumů je to novinka, která od projektanta vyžaduje posouzení instalace v širších souvislostech.
Důvodem je neznalost podmínek, za jakých bude tlumič pracovat. Proto je nutné, aby míru nejistoty posoudil projektant a zohlednil všechny faktory, které mají na útlum hluku vliv. Jsou to zejména neprůzvučnost a tuhost potrubí, ve kterém bude tlumič instalován, provozní podmínky, způsob měření výsledků atd. Je tedy na projektantovi, jakou míru rizika zvolí a odchylku přičte nebo odečte a v jaké velikosti. Námi prezentovaná rozšířená nejistota představuje interval, ve kterém s 95 % pravděpodobností bude ležet měřená hodnota při kombinaci zmíněných místních podmínek.
Je tedy zřejmé, že kvalitní návrh tlumení vyžaduje podrobnou znalost místních podmínek a řízení rizika. Vzhledem k tomu, že jsme již na novou normu recertifikovaní, jsme samozřejmě připraveni tyto rizika minimalizovat a projektantům nabídnout pomocnou ruku při řešení a aplikaci.
V podstatě se nejedná o nic nového, neboť po fyzikální stránce se takto chová každý soubor měření a nezáleží na výrobci nebo způsobu uvádění výsledků. My jako první toto aplikujeme a otevřeně nabízíme pomoc při řešení. Oporou nám jsou interní databáze měřených instalací, při kterých validujeme jednotlivé výsledky a porovnáváme účinnosti jednotlivých řešení.</t>
  </si>
  <si>
    <t>Vaše připomínky na zlepšení, případně objevené chyby můžete posílat na micka@greif.cz.
V případě, že budete potřebovat pomoc s návrhem tlumičů, kontaktujte naší technickou podporu.</t>
  </si>
  <si>
    <t>Verze: 2.1</t>
  </si>
  <si>
    <t>Výpočtový program je určen pro návrh buňkových tlumičů hluku GREIF instalovaných ve vzduchotechnickém potrubí, nebo stavebně připravených kanálech. Návrh je možné provádět pro všechny standardně vyráběné typy buňkových tlumičů GE / G / GH uspořádané do sestav podle směrnice ITS102-01, kapitoly 5, obrázků a) a b).
Výpočet je omezen na běžné konstrukční podmínky. V případě složitějších návrhů je nutné tlumič poptat.
Uvedené ceny jsou orientační. Skutečná cena včetně obchodních podmínek bude stanovena na základě nabídky.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</si>
</sst>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 \±0"/>
    <numFmt numFmtId="167" formatCode="#,##0\ &quot;Kč&quot;"/>
    <numFmt numFmtId="168" formatCode="0\ \P\a"/>
    <numFmt numFmtId="169" formatCode="0\ \k\s"/>
    <numFmt numFmtId="170" formatCode="0\ \k\g"/>
  </numFmts>
  <fonts count="22">
    <font>
      <sz val="10"/>
      <name val="Arial CE"/>
      <charset val="238"/>
    </font>
    <font>
      <sz val="8"/>
      <name val="Arial CE"/>
      <charset val="238"/>
    </font>
    <font>
      <sz val="9"/>
      <color indexed="81"/>
      <name val="Tahoma"/>
      <family val="2"/>
      <charset val="238"/>
    </font>
    <font>
      <sz val="12"/>
      <name val="Arial Narrow"/>
      <family val="2"/>
      <charset val="238"/>
    </font>
    <font>
      <b/>
      <sz val="12"/>
      <name val="Arial Narrow"/>
      <family val="2"/>
      <charset val="238"/>
    </font>
    <font>
      <b/>
      <sz val="20"/>
      <name val="Arial Narrow"/>
      <family val="2"/>
      <charset val="238"/>
    </font>
    <font>
      <b/>
      <sz val="12"/>
      <color theme="0"/>
      <name val="Arial Narrow"/>
      <family val="2"/>
      <charset val="238"/>
    </font>
    <font>
      <sz val="12"/>
      <color theme="0" tint="-0.249977111117893"/>
      <name val="Arial Narrow"/>
      <family val="2"/>
      <charset val="238"/>
    </font>
    <font>
      <b/>
      <sz val="8"/>
      <name val="Arial Narrow"/>
      <family val="2"/>
      <charset val="238"/>
    </font>
    <font>
      <sz val="8"/>
      <name val="Arial Narrow"/>
      <family val="2"/>
      <charset val="238"/>
    </font>
    <font>
      <sz val="12"/>
      <color theme="0" tint="-0.14999847407452621"/>
      <name val="Arial Narrow"/>
      <family val="2"/>
      <charset val="238"/>
    </font>
    <font>
      <sz val="12"/>
      <color theme="0"/>
      <name val="Arial Narrow"/>
      <family val="2"/>
      <charset val="238"/>
    </font>
    <font>
      <b/>
      <sz val="9"/>
      <color indexed="81"/>
      <name val="Tahoma"/>
      <family val="2"/>
      <charset val="238"/>
    </font>
    <font>
      <sz val="9"/>
      <name val="Arial Narrow"/>
      <family val="2"/>
      <charset val="238"/>
    </font>
    <font>
      <sz val="12"/>
      <name val="Calibri"/>
      <family val="2"/>
      <charset val="238"/>
    </font>
    <font>
      <b/>
      <sz val="10"/>
      <name val="Arial Narrow"/>
      <family val="2"/>
      <charset val="238"/>
    </font>
    <font>
      <b/>
      <sz val="12"/>
      <color theme="0" tint="-0.249977111117893"/>
      <name val="Arial Narrow"/>
      <family val="2"/>
      <charset val="238"/>
    </font>
    <font>
      <b/>
      <sz val="10"/>
      <color rgb="FFFF0000"/>
      <name val="Arial Narrow"/>
      <family val="2"/>
      <charset val="238"/>
    </font>
    <font>
      <sz val="10"/>
      <name val="Arial Narrow"/>
      <family val="2"/>
      <charset val="238"/>
    </font>
    <font>
      <vertAlign val="superscript"/>
      <sz val="10"/>
      <name val="Arial Narrow"/>
      <family val="2"/>
      <charset val="238"/>
    </font>
    <font>
      <b/>
      <sz val="9"/>
      <color rgb="FF000000"/>
      <name val="Tahoma"/>
      <family val="2"/>
      <charset val="238"/>
    </font>
    <font>
      <sz val="9"/>
      <color rgb="FF000000"/>
      <name val="Tahoma"/>
      <family val="2"/>
      <charset val="238"/>
    </font>
  </fonts>
  <fills count="5">
    <fill>
      <patternFill patternType="none"/>
    </fill>
    <fill>
      <patternFill patternType="gray125"/>
    </fill>
    <fill>
      <patternFill patternType="solid">
        <fgColor rgb="FF006F3D"/>
        <bgColor indexed="64"/>
      </patternFill>
    </fill>
    <fill>
      <patternFill patternType="solid">
        <fgColor theme="0"/>
        <bgColor indexed="64"/>
      </patternFill>
    </fill>
    <fill>
      <patternFill patternType="solid">
        <fgColor rgb="FFFFFFC8"/>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0">
    <xf numFmtId="0" fontId="0" fillId="0" borderId="0" xfId="0"/>
    <xf numFmtId="0" fontId="4" fillId="0" borderId="2" xfId="0" applyFont="1" applyFill="1" applyBorder="1" applyAlignment="1" applyProtection="1">
      <alignment vertical="center"/>
      <protection hidden="1"/>
    </xf>
    <xf numFmtId="0" fontId="4"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165" fontId="4" fillId="0" borderId="3" xfId="0" applyNumberFormat="1" applyFont="1" applyFill="1" applyBorder="1" applyAlignment="1" applyProtection="1">
      <alignment horizontal="center" vertical="center"/>
      <protection hidden="1"/>
    </xf>
    <xf numFmtId="1" fontId="11" fillId="0" borderId="6" xfId="0" applyNumberFormat="1" applyFont="1" applyBorder="1" applyAlignment="1" applyProtection="1">
      <alignment horizontal="center" vertical="center"/>
      <protection hidden="1"/>
    </xf>
    <xf numFmtId="1" fontId="11" fillId="0" borderId="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Border="1" applyAlignment="1" applyProtection="1">
      <alignment horizontal="center" vertical="center"/>
      <protection hidden="1"/>
    </xf>
    <xf numFmtId="14" fontId="3" fillId="0" borderId="0" xfId="0" applyNumberFormat="1" applyFont="1" applyAlignment="1" applyProtection="1">
      <alignment vertical="center"/>
      <protection hidden="1"/>
    </xf>
    <xf numFmtId="0" fontId="9" fillId="0" borderId="0" xfId="0" applyFont="1" applyAlignment="1" applyProtection="1">
      <alignment horizontal="right" vertical="center"/>
      <protection hidden="1"/>
    </xf>
    <xf numFmtId="0" fontId="5" fillId="0" borderId="0" xfId="0" applyFont="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5" fillId="0" borderId="0" xfId="0" applyFont="1" applyAlignment="1" applyProtection="1">
      <alignment horizontal="center" vertical="center"/>
      <protection hidden="1"/>
    </xf>
    <xf numFmtId="0" fontId="3" fillId="0" borderId="2" xfId="0" applyFont="1" applyBorder="1" applyAlignment="1" applyProtection="1">
      <alignment horizontal="center" vertical="center"/>
      <protection hidden="1"/>
    </xf>
    <xf numFmtId="164" fontId="4" fillId="0" borderId="1" xfId="0" applyNumberFormat="1" applyFont="1" applyFill="1" applyBorder="1" applyAlignment="1" applyProtection="1">
      <alignment horizontal="center" vertical="center"/>
      <protection hidden="1"/>
    </xf>
    <xf numFmtId="164" fontId="3" fillId="0" borderId="1" xfId="0" applyNumberFormat="1" applyFont="1" applyBorder="1" applyAlignment="1" applyProtection="1">
      <alignment horizontal="center" vertical="center"/>
      <protection hidden="1"/>
    </xf>
    <xf numFmtId="164" fontId="6" fillId="2" borderId="1" xfId="0" applyNumberFormat="1"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wrapText="1"/>
      <protection hidden="1"/>
    </xf>
    <xf numFmtId="164" fontId="4" fillId="0" borderId="1" xfId="0" applyNumberFormat="1" applyFont="1" applyBorder="1" applyAlignment="1" applyProtection="1">
      <alignment horizontal="center" vertical="center"/>
      <protection hidden="1"/>
    </xf>
    <xf numFmtId="0" fontId="10" fillId="0" borderId="0" xfId="0" applyFont="1" applyFill="1" applyBorder="1" applyAlignment="1" applyProtection="1">
      <alignment vertical="center" wrapText="1"/>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9" fillId="0" borderId="0" xfId="0" applyFont="1" applyBorder="1" applyAlignment="1" applyProtection="1">
      <alignment horizontal="right" vertical="center"/>
      <protection hidden="1"/>
    </xf>
    <xf numFmtId="0" fontId="4" fillId="0" borderId="0" xfId="0" applyFont="1" applyBorder="1" applyAlignment="1" applyProtection="1">
      <alignment horizontal="center" vertical="center"/>
      <protection hidden="1"/>
    </xf>
    <xf numFmtId="166" fontId="3" fillId="0" borderId="1" xfId="0" applyNumberFormat="1" applyFont="1" applyBorder="1" applyAlignment="1" applyProtection="1">
      <alignment horizontal="center" vertical="center"/>
      <protection hidden="1"/>
    </xf>
    <xf numFmtId="0" fontId="3" fillId="0" borderId="0" xfId="0" applyFont="1" applyAlignment="1" applyProtection="1">
      <alignment horizontal="left" vertical="center"/>
      <protection hidden="1"/>
    </xf>
    <xf numFmtId="3" fontId="3" fillId="0" borderId="1" xfId="0" applyNumberFormat="1" applyFont="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14" fillId="0" borderId="0" xfId="0" applyFont="1" applyAlignment="1" applyProtection="1">
      <alignment horizontal="center" vertical="center"/>
      <protection hidden="1"/>
    </xf>
    <xf numFmtId="164" fontId="3" fillId="0" borderId="0" xfId="0" applyNumberFormat="1" applyFont="1" applyBorder="1" applyAlignment="1" applyProtection="1">
      <alignment horizontal="center" vertical="center"/>
      <protection hidden="1"/>
    </xf>
    <xf numFmtId="0" fontId="3" fillId="0" borderId="3" xfId="0" applyFont="1" applyFill="1" applyBorder="1" applyAlignment="1" applyProtection="1">
      <alignment horizontal="left" vertical="center"/>
      <protection hidden="1"/>
    </xf>
    <xf numFmtId="0" fontId="3" fillId="0" borderId="2"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164" fontId="4" fillId="4" borderId="1" xfId="0" applyNumberFormat="1" applyFont="1" applyFill="1" applyBorder="1" applyAlignment="1" applyProtection="1">
      <alignment horizontal="center" vertical="center"/>
      <protection locked="0" hidden="1"/>
    </xf>
    <xf numFmtId="1" fontId="11" fillId="0" borderId="2" xfId="0" applyNumberFormat="1"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3" fillId="0" borderId="3"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4" fillId="4" borderId="1" xfId="0" applyFont="1" applyFill="1" applyBorder="1" applyAlignment="1" applyProtection="1">
      <alignment horizontal="center" vertical="center"/>
      <protection locked="0" hidden="1"/>
    </xf>
    <xf numFmtId="0" fontId="15" fillId="0" borderId="1" xfId="0" applyFont="1" applyBorder="1" applyAlignment="1" applyProtection="1">
      <alignment horizontal="center" vertical="center"/>
      <protection hidden="1"/>
    </xf>
    <xf numFmtId="164" fontId="4" fillId="0" borderId="1" xfId="0" applyNumberFormat="1" applyFont="1" applyBorder="1" applyAlignment="1" applyProtection="1">
      <alignment horizontal="left" vertical="center" indent="1"/>
      <protection hidden="1"/>
    </xf>
    <xf numFmtId="0" fontId="3" fillId="0" borderId="1" xfId="0" applyFont="1" applyBorder="1" applyAlignment="1" applyProtection="1">
      <alignment horizontal="center" vertical="center"/>
      <protection hidden="1"/>
    </xf>
    <xf numFmtId="164" fontId="4" fillId="0" borderId="1" xfId="0" applyNumberFormat="1" applyFont="1" applyFill="1" applyBorder="1" applyAlignment="1" applyProtection="1">
      <alignment horizontal="center" vertical="center"/>
      <protection locked="0" hidden="1"/>
    </xf>
    <xf numFmtId="0" fontId="18" fillId="0" borderId="5"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7" fillId="0" borderId="0" xfId="0" applyFont="1" applyFill="1" applyBorder="1" applyAlignment="1" applyProtection="1">
      <alignment vertical="center"/>
      <protection hidden="1"/>
    </xf>
    <xf numFmtId="0" fontId="3" fillId="0" borderId="0" xfId="0" applyFont="1" applyFill="1" applyBorder="1" applyAlignment="1" applyProtection="1">
      <alignment vertical="top" wrapText="1"/>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left" vertical="center"/>
      <protection hidden="1"/>
    </xf>
    <xf numFmtId="0" fontId="16" fillId="0" borderId="0" xfId="0" applyFont="1" applyFill="1" applyBorder="1" applyAlignment="1" applyProtection="1">
      <alignment horizontal="left" vertical="top" wrapText="1"/>
      <protection hidden="1"/>
    </xf>
    <xf numFmtId="0" fontId="3" fillId="0" borderId="0" xfId="0" applyFont="1" applyFill="1" applyBorder="1" applyAlignment="1" applyProtection="1">
      <alignment horizontal="left" vertical="top" wrapText="1"/>
      <protection hidden="1"/>
    </xf>
    <xf numFmtId="0" fontId="3" fillId="0" borderId="0" xfId="0" applyFont="1" applyFill="1" applyBorder="1" applyAlignment="1" applyProtection="1">
      <alignment vertical="top" wrapText="1"/>
      <protection hidden="1"/>
    </xf>
    <xf numFmtId="0" fontId="4" fillId="0" borderId="0" xfId="0" applyFont="1" applyFill="1" applyBorder="1" applyAlignment="1" applyProtection="1">
      <alignment horizontal="left" vertical="top" wrapText="1"/>
      <protection hidden="1"/>
    </xf>
    <xf numFmtId="0" fontId="5" fillId="0" borderId="0" xfId="0" applyFont="1" applyAlignment="1" applyProtection="1">
      <alignment horizontal="left" vertical="center"/>
      <protection hidden="1"/>
    </xf>
    <xf numFmtId="0" fontId="4" fillId="0" borderId="0" xfId="0" applyFont="1" applyFill="1" applyBorder="1" applyAlignment="1" applyProtection="1">
      <alignment horizontal="center" vertical="center"/>
      <protection hidden="1"/>
    </xf>
    <xf numFmtId="14" fontId="4" fillId="0" borderId="0" xfId="0" applyNumberFormat="1" applyFont="1" applyFill="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6" fillId="2" borderId="1"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 fillId="0" borderId="7"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1" fontId="3" fillId="0" borderId="3" xfId="0" applyNumberFormat="1" applyFont="1" applyBorder="1" applyAlignment="1" applyProtection="1">
      <alignment horizontal="left" vertical="center" indent="1"/>
      <protection hidden="1"/>
    </xf>
    <xf numFmtId="1" fontId="3" fillId="0" borderId="2" xfId="0" applyNumberFormat="1" applyFont="1" applyBorder="1" applyAlignment="1" applyProtection="1">
      <alignment horizontal="left" vertical="center" indent="1"/>
      <protection hidden="1"/>
    </xf>
    <xf numFmtId="4" fontId="3" fillId="0" borderId="1" xfId="0" applyNumberFormat="1" applyFont="1" applyFill="1" applyBorder="1" applyAlignment="1" applyProtection="1">
      <alignment horizontal="center" vertical="center"/>
      <protection hidden="1"/>
    </xf>
    <xf numFmtId="3" fontId="3" fillId="0" borderId="1" xfId="0" applyNumberFormat="1" applyFont="1" applyFill="1" applyBorder="1" applyAlignment="1" applyProtection="1">
      <alignment horizontal="center" vertical="center"/>
      <protection hidden="1"/>
    </xf>
    <xf numFmtId="9" fontId="4" fillId="4" borderId="1" xfId="0" applyNumberFormat="1" applyFont="1" applyFill="1" applyBorder="1" applyAlignment="1" applyProtection="1">
      <alignment horizontal="center" vertical="center"/>
      <protection locked="0" hidden="1"/>
    </xf>
    <xf numFmtId="0" fontId="7" fillId="0" borderId="0" xfId="0" applyFont="1" applyFill="1" applyBorder="1" applyAlignment="1" applyProtection="1">
      <alignment horizontal="left" vertical="center"/>
      <protection locked="0" hidden="1"/>
    </xf>
    <xf numFmtId="0" fontId="3" fillId="0" borderId="3" xfId="0" applyNumberFormat="1" applyFont="1" applyBorder="1" applyAlignment="1" applyProtection="1">
      <alignment horizontal="left" vertical="center" indent="1"/>
      <protection hidden="1"/>
    </xf>
    <xf numFmtId="0" fontId="3" fillId="0" borderId="2" xfId="0" applyNumberFormat="1" applyFont="1" applyBorder="1" applyAlignment="1" applyProtection="1">
      <alignment horizontal="left" vertical="center" indent="1"/>
      <protection hidden="1"/>
    </xf>
    <xf numFmtId="164" fontId="4" fillId="4" borderId="1" xfId="0" applyNumberFormat="1" applyFont="1" applyFill="1" applyBorder="1" applyAlignment="1" applyProtection="1">
      <alignment horizontal="center" vertical="center"/>
      <protection locked="0" hidden="1"/>
    </xf>
    <xf numFmtId="168" fontId="6" fillId="2" borderId="3" xfId="0" applyNumberFormat="1" applyFont="1" applyFill="1" applyBorder="1" applyAlignment="1" applyProtection="1">
      <alignment horizontal="center" vertical="center"/>
      <protection hidden="1"/>
    </xf>
    <xf numFmtId="168" fontId="6" fillId="2" borderId="4" xfId="0" applyNumberFormat="1" applyFont="1" applyFill="1" applyBorder="1" applyAlignment="1" applyProtection="1">
      <alignment horizontal="center" vertical="center"/>
      <protection hidden="1"/>
    </xf>
    <xf numFmtId="3" fontId="4" fillId="4" borderId="5" xfId="0" applyNumberFormat="1" applyFont="1" applyFill="1" applyBorder="1" applyAlignment="1" applyProtection="1">
      <alignment horizontal="center" vertical="center"/>
      <protection locked="0" hidden="1"/>
    </xf>
    <xf numFmtId="0" fontId="3" fillId="0" borderId="1" xfId="0" applyFont="1" applyBorder="1" applyAlignment="1" applyProtection="1">
      <alignment horizontal="center" vertical="center"/>
      <protection hidden="1"/>
    </xf>
    <xf numFmtId="0" fontId="4" fillId="3" borderId="7" xfId="0" applyFont="1" applyFill="1" applyBorder="1" applyAlignment="1" applyProtection="1">
      <alignment horizontal="left" vertical="center"/>
      <protection hidden="1"/>
    </xf>
    <xf numFmtId="0" fontId="17" fillId="3" borderId="7" xfId="0" applyFont="1" applyFill="1" applyBorder="1" applyAlignment="1" applyProtection="1">
      <alignment horizontal="right" vertical="center"/>
      <protection hidden="1"/>
    </xf>
    <xf numFmtId="3" fontId="4" fillId="4" borderId="1" xfId="0" applyNumberFormat="1" applyFont="1" applyFill="1" applyBorder="1" applyAlignment="1" applyProtection="1">
      <alignment horizontal="center" vertical="center"/>
      <protection locked="0" hidden="1"/>
    </xf>
    <xf numFmtId="4" fontId="4" fillId="4" borderId="1" xfId="0" applyNumberFormat="1" applyFont="1" applyFill="1" applyBorder="1" applyAlignment="1" applyProtection="1">
      <alignment horizontal="center" vertical="center"/>
      <protection locked="0" hidden="1"/>
    </xf>
    <xf numFmtId="167" fontId="4" fillId="0" borderId="1" xfId="0" applyNumberFormat="1" applyFont="1" applyBorder="1" applyAlignment="1" applyProtection="1">
      <alignment horizontal="left" vertical="center" indent="1"/>
      <protection hidden="1"/>
    </xf>
    <xf numFmtId="169" fontId="4" fillId="0" borderId="1" xfId="0" applyNumberFormat="1" applyFont="1" applyBorder="1" applyAlignment="1" applyProtection="1">
      <alignment horizontal="left" vertical="center" indent="1"/>
      <protection hidden="1"/>
    </xf>
    <xf numFmtId="170" fontId="4" fillId="0" borderId="1" xfId="0" applyNumberFormat="1" applyFont="1" applyBorder="1" applyAlignment="1" applyProtection="1">
      <alignment horizontal="left" vertical="center" indent="1"/>
      <protection hidden="1"/>
    </xf>
    <xf numFmtId="0" fontId="4" fillId="0" borderId="1" xfId="0" applyFont="1" applyBorder="1" applyAlignment="1" applyProtection="1">
      <alignment horizontal="left" vertical="center" indent="1"/>
      <protection hidden="1"/>
    </xf>
    <xf numFmtId="0" fontId="6" fillId="2" borderId="1" xfId="0" applyFont="1" applyFill="1" applyBorder="1" applyAlignment="1" applyProtection="1">
      <alignment horizontal="left" vertical="center" indent="1"/>
      <protection hidden="1"/>
    </xf>
    <xf numFmtId="0" fontId="3" fillId="0" borderId="3"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cellXfs>
  <cellStyles count="1">
    <cellStyle name="Normální" xfId="0" builtinId="0"/>
  </cellStyles>
  <dxfs count="19">
    <dxf>
      <font>
        <b val="0"/>
        <i val="0"/>
        <color auto="1"/>
      </font>
    </dxf>
    <dxf>
      <font>
        <b val="0"/>
        <i val="0"/>
        <color auto="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dxf>
    <dxf>
      <font>
        <b/>
        <i val="0"/>
        <color theme="1"/>
      </font>
    </dxf>
    <dxf>
      <font>
        <color theme="1"/>
      </font>
    </dxf>
    <dxf>
      <font>
        <b/>
        <i val="0"/>
        <color theme="1"/>
      </font>
    </dxf>
  </dxfs>
  <tableStyles count="0" defaultTableStyle="TableStyleMedium9" defaultPivotStyle="PivotStyleLight16"/>
  <colors>
    <mruColors>
      <color rgb="FF006F3D"/>
      <color rgb="FFFFFFC8"/>
      <color rgb="FFFFF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30169881328585E-2"/>
          <c:y val="3.2774677960049618E-2"/>
          <c:w val="0.6991409174473765"/>
          <c:h val="0.89580139248978929"/>
        </c:manualLayout>
      </c:layout>
      <c:lineChart>
        <c:grouping val="standard"/>
        <c:varyColors val="0"/>
        <c:ser>
          <c:idx val="0"/>
          <c:order val="0"/>
          <c:tx>
            <c:strRef>
              <c:f>'TLU-01'!$N$12</c:f>
              <c:strCache>
                <c:ptCount val="1"/>
                <c:pt idx="0">
                  <c:v>LWZ-Lin</c:v>
                </c:pt>
              </c:strCache>
            </c:strRef>
          </c:tx>
          <c:spPr>
            <a:ln>
              <a:solidFill>
                <a:srgbClr val="FF0000"/>
              </a:solidFill>
            </a:ln>
          </c:spPr>
          <c:marker>
            <c:symbol val="circle"/>
            <c:size val="7"/>
            <c:spPr>
              <a:solidFill>
                <a:srgbClr val="FF0000"/>
              </a:solidFill>
              <a:ln w="19050">
                <a:solidFill>
                  <a:schemeClr val="bg1"/>
                </a:solidFill>
              </a:ln>
            </c:spPr>
          </c:marker>
          <c:cat>
            <c:numRef>
              <c:f>'TLU-01'!$P$11:$X$11</c:f>
              <c:numCache>
                <c:formatCode>General</c:formatCode>
                <c:ptCount val="9"/>
                <c:pt idx="0">
                  <c:v>31.5</c:v>
                </c:pt>
                <c:pt idx="1">
                  <c:v>63</c:v>
                </c:pt>
                <c:pt idx="2">
                  <c:v>125</c:v>
                </c:pt>
                <c:pt idx="3">
                  <c:v>250</c:v>
                </c:pt>
                <c:pt idx="4">
                  <c:v>500</c:v>
                </c:pt>
                <c:pt idx="5">
                  <c:v>1000</c:v>
                </c:pt>
                <c:pt idx="6">
                  <c:v>2000</c:v>
                </c:pt>
                <c:pt idx="7">
                  <c:v>4000</c:v>
                </c:pt>
                <c:pt idx="8">
                  <c:v>8000</c:v>
                </c:pt>
              </c:numCache>
            </c:numRef>
          </c:cat>
          <c:val>
            <c:numRef>
              <c:f>'TLU-01'!$P$12:$X$12</c:f>
              <c:numCache>
                <c:formatCode>#\ ##0.0</c:formatCode>
                <c:ptCount val="9"/>
                <c:pt idx="0">
                  <c:v>75</c:v>
                </c:pt>
                <c:pt idx="1">
                  <c:v>90</c:v>
                </c:pt>
                <c:pt idx="2">
                  <c:v>100</c:v>
                </c:pt>
                <c:pt idx="3">
                  <c:v>103</c:v>
                </c:pt>
                <c:pt idx="4">
                  <c:v>99</c:v>
                </c:pt>
                <c:pt idx="5">
                  <c:v>94</c:v>
                </c:pt>
                <c:pt idx="6">
                  <c:v>84</c:v>
                </c:pt>
                <c:pt idx="7">
                  <c:v>78</c:v>
                </c:pt>
                <c:pt idx="8">
                  <c:v>74</c:v>
                </c:pt>
              </c:numCache>
            </c:numRef>
          </c:val>
          <c:smooth val="0"/>
          <c:extLst>
            <c:ext xmlns:c16="http://schemas.microsoft.com/office/drawing/2014/chart" uri="{C3380CC4-5D6E-409C-BE32-E72D297353CC}">
              <c16:uniqueId val="{00000000-C837-4EB1-82E6-2526A5B65A78}"/>
            </c:ext>
          </c:extLst>
        </c:ser>
        <c:ser>
          <c:idx val="2"/>
          <c:order val="1"/>
          <c:tx>
            <c:strRef>
              <c:f>'TLU-01'!$N$14</c:f>
              <c:strCache>
                <c:ptCount val="1"/>
                <c:pt idx="0">
                  <c:v>LWT-Lin</c:v>
                </c:pt>
              </c:strCache>
            </c:strRef>
          </c:tx>
          <c:spPr>
            <a:ln>
              <a:solidFill>
                <a:srgbClr val="FFC000"/>
              </a:solidFill>
            </a:ln>
          </c:spPr>
          <c:marker>
            <c:symbol val="circle"/>
            <c:size val="7"/>
            <c:spPr>
              <a:solidFill>
                <a:srgbClr val="FFC000"/>
              </a:solidFill>
              <a:ln w="19050">
                <a:solidFill>
                  <a:schemeClr val="bg1"/>
                </a:solidFill>
              </a:ln>
            </c:spPr>
          </c:marker>
          <c:cat>
            <c:numRef>
              <c:f>'TLU-01'!$P$11:$X$11</c:f>
              <c:numCache>
                <c:formatCode>General</c:formatCode>
                <c:ptCount val="9"/>
                <c:pt idx="0">
                  <c:v>31.5</c:v>
                </c:pt>
                <c:pt idx="1">
                  <c:v>63</c:v>
                </c:pt>
                <c:pt idx="2">
                  <c:v>125</c:v>
                </c:pt>
                <c:pt idx="3">
                  <c:v>250</c:v>
                </c:pt>
                <c:pt idx="4">
                  <c:v>500</c:v>
                </c:pt>
                <c:pt idx="5">
                  <c:v>1000</c:v>
                </c:pt>
                <c:pt idx="6">
                  <c:v>2000</c:v>
                </c:pt>
                <c:pt idx="7">
                  <c:v>4000</c:v>
                </c:pt>
                <c:pt idx="8">
                  <c:v>8000</c:v>
                </c:pt>
              </c:numCache>
            </c:numRef>
          </c:cat>
          <c:val>
            <c:numRef>
              <c:f>'TLU-01'!$P$14:$X$14</c:f>
              <c:numCache>
                <c:formatCode>#\ ##0.0</c:formatCode>
                <c:ptCount val="9"/>
                <c:pt idx="0">
                  <c:v>57.451857311846062</c:v>
                </c:pt>
                <c:pt idx="1">
                  <c:v>52.315336281242587</c:v>
                </c:pt>
                <c:pt idx="2">
                  <c:v>48.635510397770346</c:v>
                </c:pt>
                <c:pt idx="3">
                  <c:v>46.361045125666408</c:v>
                </c:pt>
                <c:pt idx="4">
                  <c:v>43.988527554492961</c:v>
                </c:pt>
                <c:pt idx="5">
                  <c:v>40.080999182803041</c:v>
                </c:pt>
                <c:pt idx="6">
                  <c:v>34.835309047962902</c:v>
                </c:pt>
                <c:pt idx="7">
                  <c:v>29.034553740603592</c:v>
                </c:pt>
                <c:pt idx="8">
                  <c:v>23.070852997649652</c:v>
                </c:pt>
              </c:numCache>
            </c:numRef>
          </c:val>
          <c:smooth val="0"/>
          <c:extLst>
            <c:ext xmlns:c16="http://schemas.microsoft.com/office/drawing/2014/chart" uri="{C3380CC4-5D6E-409C-BE32-E72D297353CC}">
              <c16:uniqueId val="{00000001-C837-4EB1-82E6-2526A5B65A78}"/>
            </c:ext>
          </c:extLst>
        </c:ser>
        <c:ser>
          <c:idx val="4"/>
          <c:order val="2"/>
          <c:tx>
            <c:strRef>
              <c:f>'TLU-01'!$N$16</c:f>
              <c:strCache>
                <c:ptCount val="1"/>
                <c:pt idx="0">
                  <c:v>LWC-Lin</c:v>
                </c:pt>
              </c:strCache>
            </c:strRef>
          </c:tx>
          <c:spPr>
            <a:ln>
              <a:solidFill>
                <a:srgbClr val="7030A0"/>
              </a:solidFill>
            </a:ln>
          </c:spPr>
          <c:marker>
            <c:symbol val="circle"/>
            <c:size val="7"/>
            <c:spPr>
              <a:solidFill>
                <a:srgbClr val="7030A0"/>
              </a:solidFill>
              <a:ln w="19050">
                <a:solidFill>
                  <a:schemeClr val="bg1"/>
                </a:solidFill>
              </a:ln>
            </c:spPr>
          </c:marker>
          <c:cat>
            <c:numRef>
              <c:f>'TLU-01'!$P$11:$X$11</c:f>
              <c:numCache>
                <c:formatCode>General</c:formatCode>
                <c:ptCount val="9"/>
                <c:pt idx="0">
                  <c:v>31.5</c:v>
                </c:pt>
                <c:pt idx="1">
                  <c:v>63</c:v>
                </c:pt>
                <c:pt idx="2">
                  <c:v>125</c:v>
                </c:pt>
                <c:pt idx="3">
                  <c:v>250</c:v>
                </c:pt>
                <c:pt idx="4">
                  <c:v>500</c:v>
                </c:pt>
                <c:pt idx="5">
                  <c:v>1000</c:v>
                </c:pt>
                <c:pt idx="6">
                  <c:v>2000</c:v>
                </c:pt>
                <c:pt idx="7">
                  <c:v>4000</c:v>
                </c:pt>
                <c:pt idx="8">
                  <c:v>8000</c:v>
                </c:pt>
              </c:numCache>
            </c:numRef>
          </c:cat>
          <c:val>
            <c:numRef>
              <c:f>'TLU-01'!$P$16:$X$16</c:f>
              <c:numCache>
                <c:formatCode>#\ ##0.0</c:formatCode>
                <c:ptCount val="9"/>
                <c:pt idx="0">
                  <c:v>67.457003484842673</c:v>
                </c:pt>
                <c:pt idx="1">
                  <c:v>81.005875220158543</c:v>
                </c:pt>
                <c:pt idx="2">
                  <c:v>85.001002963669819</c:v>
                </c:pt>
                <c:pt idx="3">
                  <c:v>75.005937340050068</c:v>
                </c:pt>
                <c:pt idx="4">
                  <c:v>56.265043700810402</c:v>
                </c:pt>
                <c:pt idx="5">
                  <c:v>46.989610984473764</c:v>
                </c:pt>
                <c:pt idx="6">
                  <c:v>39.710056337100987</c:v>
                </c:pt>
                <c:pt idx="7">
                  <c:v>38.518846753043746</c:v>
                </c:pt>
                <c:pt idx="8">
                  <c:v>44.034923860745685</c:v>
                </c:pt>
              </c:numCache>
            </c:numRef>
          </c:val>
          <c:smooth val="0"/>
          <c:extLst>
            <c:ext xmlns:c16="http://schemas.microsoft.com/office/drawing/2014/chart" uri="{C3380CC4-5D6E-409C-BE32-E72D297353CC}">
              <c16:uniqueId val="{00000002-C837-4EB1-82E6-2526A5B65A78}"/>
            </c:ext>
          </c:extLst>
        </c:ser>
        <c:ser>
          <c:idx val="6"/>
          <c:order val="3"/>
          <c:tx>
            <c:strRef>
              <c:f>'TLU-01'!$N$13</c:f>
              <c:strCache>
                <c:ptCount val="1"/>
                <c:pt idx="0">
                  <c:v>DT</c:v>
                </c:pt>
              </c:strCache>
            </c:strRef>
          </c:tx>
          <c:spPr>
            <a:ln>
              <a:solidFill>
                <a:schemeClr val="tx1"/>
              </a:solidFill>
            </a:ln>
          </c:spPr>
          <c:marker>
            <c:symbol val="circle"/>
            <c:size val="7"/>
            <c:spPr>
              <a:solidFill>
                <a:schemeClr val="tx1"/>
              </a:solidFill>
              <a:ln w="19050">
                <a:solidFill>
                  <a:schemeClr val="bg1"/>
                </a:solidFill>
              </a:ln>
            </c:spPr>
          </c:marker>
          <c:cat>
            <c:numRef>
              <c:f>'TLU-01'!$P$11:$X$11</c:f>
              <c:numCache>
                <c:formatCode>General</c:formatCode>
                <c:ptCount val="9"/>
                <c:pt idx="0">
                  <c:v>31.5</c:v>
                </c:pt>
                <c:pt idx="1">
                  <c:v>63</c:v>
                </c:pt>
                <c:pt idx="2">
                  <c:v>125</c:v>
                </c:pt>
                <c:pt idx="3">
                  <c:v>250</c:v>
                </c:pt>
                <c:pt idx="4">
                  <c:v>500</c:v>
                </c:pt>
                <c:pt idx="5">
                  <c:v>1000</c:v>
                </c:pt>
                <c:pt idx="6">
                  <c:v>2000</c:v>
                </c:pt>
                <c:pt idx="7">
                  <c:v>4000</c:v>
                </c:pt>
                <c:pt idx="8">
                  <c:v>8000</c:v>
                </c:pt>
              </c:numCache>
            </c:numRef>
          </c:cat>
          <c:val>
            <c:numRef>
              <c:f>'TLU-01'!$P$13:$X$13</c:f>
              <c:numCache>
                <c:formatCode>#\ ##0.0</c:formatCode>
                <c:ptCount val="9"/>
                <c:pt idx="0">
                  <c:v>8</c:v>
                </c:pt>
                <c:pt idx="1">
                  <c:v>9</c:v>
                </c:pt>
                <c:pt idx="2">
                  <c:v>15</c:v>
                </c:pt>
                <c:pt idx="3">
                  <c:v>28</c:v>
                </c:pt>
                <c:pt idx="4">
                  <c:v>43</c:v>
                </c:pt>
                <c:pt idx="5">
                  <c:v>48</c:v>
                </c:pt>
                <c:pt idx="6">
                  <c:v>46</c:v>
                </c:pt>
                <c:pt idx="7">
                  <c:v>40</c:v>
                </c:pt>
                <c:pt idx="8">
                  <c:v>30</c:v>
                </c:pt>
              </c:numCache>
            </c:numRef>
          </c:val>
          <c:smooth val="0"/>
          <c:extLst>
            <c:ext xmlns:c16="http://schemas.microsoft.com/office/drawing/2014/chart" uri="{C3380CC4-5D6E-409C-BE32-E72D297353CC}">
              <c16:uniqueId val="{00000003-C837-4EB1-82E6-2526A5B65A78}"/>
            </c:ext>
          </c:extLst>
        </c:ser>
        <c:ser>
          <c:idx val="7"/>
          <c:order val="4"/>
          <c:tx>
            <c:strRef>
              <c:f>'TLU-01'!$N$15</c:f>
              <c:strCache>
                <c:ptCount val="1"/>
                <c:pt idx="0">
                  <c:v>DP</c:v>
                </c:pt>
              </c:strCache>
            </c:strRef>
          </c:tx>
          <c:spPr>
            <a:ln>
              <a:solidFill>
                <a:srgbClr val="00B0F0"/>
              </a:solidFill>
            </a:ln>
          </c:spPr>
          <c:marker>
            <c:symbol val="circle"/>
            <c:size val="7"/>
            <c:spPr>
              <a:solidFill>
                <a:srgbClr val="00B0F0"/>
              </a:solidFill>
              <a:ln w="19050">
                <a:solidFill>
                  <a:schemeClr val="bg1"/>
                </a:solidFill>
              </a:ln>
            </c:spPr>
          </c:marker>
          <c:cat>
            <c:numRef>
              <c:f>'TLU-01'!$P$11:$X$11</c:f>
              <c:numCache>
                <c:formatCode>General</c:formatCode>
                <c:ptCount val="9"/>
                <c:pt idx="0">
                  <c:v>31.5</c:v>
                </c:pt>
                <c:pt idx="1">
                  <c:v>63</c:v>
                </c:pt>
                <c:pt idx="2">
                  <c:v>125</c:v>
                </c:pt>
                <c:pt idx="3">
                  <c:v>250</c:v>
                </c:pt>
                <c:pt idx="4">
                  <c:v>500</c:v>
                </c:pt>
                <c:pt idx="5">
                  <c:v>1000</c:v>
                </c:pt>
                <c:pt idx="6">
                  <c:v>2000</c:v>
                </c:pt>
                <c:pt idx="7">
                  <c:v>4000</c:v>
                </c:pt>
                <c:pt idx="8">
                  <c:v>8000</c:v>
                </c:pt>
              </c:numCache>
            </c:numRef>
          </c:cat>
          <c:val>
            <c:numRef>
              <c:f>'TLU-01'!$P$15:$X$15</c:f>
              <c:numCache>
                <c:formatCode>#\ ##0.0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C837-4EB1-82E6-2526A5B65A78}"/>
            </c:ext>
          </c:extLst>
        </c:ser>
        <c:ser>
          <c:idx val="8"/>
          <c:order val="5"/>
          <c:tx>
            <c:strRef>
              <c:f>'TLU-01'!$N$17</c:f>
              <c:strCache>
                <c:ptCount val="1"/>
                <c:pt idx="0">
                  <c:v>DC</c:v>
                </c:pt>
              </c:strCache>
            </c:strRef>
          </c:tx>
          <c:spPr>
            <a:ln>
              <a:solidFill>
                <a:srgbClr val="006F3D"/>
              </a:solidFill>
            </a:ln>
          </c:spPr>
          <c:marker>
            <c:symbol val="circle"/>
            <c:size val="7"/>
            <c:spPr>
              <a:noFill/>
              <a:ln w="19050">
                <a:solidFill>
                  <a:srgbClr val="006F3D"/>
                </a:solidFill>
              </a:ln>
            </c:spPr>
          </c:marker>
          <c:cat>
            <c:numRef>
              <c:f>'TLU-01'!$P$11:$X$11</c:f>
              <c:numCache>
                <c:formatCode>General</c:formatCode>
                <c:ptCount val="9"/>
                <c:pt idx="0">
                  <c:v>31.5</c:v>
                </c:pt>
                <c:pt idx="1">
                  <c:v>63</c:v>
                </c:pt>
                <c:pt idx="2">
                  <c:v>125</c:v>
                </c:pt>
                <c:pt idx="3">
                  <c:v>250</c:v>
                </c:pt>
                <c:pt idx="4">
                  <c:v>500</c:v>
                </c:pt>
                <c:pt idx="5">
                  <c:v>1000</c:v>
                </c:pt>
                <c:pt idx="6">
                  <c:v>2000</c:v>
                </c:pt>
                <c:pt idx="7">
                  <c:v>4000</c:v>
                </c:pt>
                <c:pt idx="8">
                  <c:v>8000</c:v>
                </c:pt>
              </c:numCache>
            </c:numRef>
          </c:cat>
          <c:val>
            <c:numRef>
              <c:f>'TLU-01'!$P$17:$X$17</c:f>
              <c:numCache>
                <c:formatCode>#\ ##0.0</c:formatCode>
                <c:ptCount val="9"/>
                <c:pt idx="0">
                  <c:v>7.5429965151573271</c:v>
                </c:pt>
                <c:pt idx="1">
                  <c:v>8.9941247798414565</c:v>
                </c:pt>
                <c:pt idx="2">
                  <c:v>14.998997036330181</c:v>
                </c:pt>
                <c:pt idx="3">
                  <c:v>27.994062659949932</c:v>
                </c:pt>
                <c:pt idx="4">
                  <c:v>42.734956299189598</c:v>
                </c:pt>
                <c:pt idx="5">
                  <c:v>47.010389015526236</c:v>
                </c:pt>
                <c:pt idx="6">
                  <c:v>44.289943662899013</c:v>
                </c:pt>
                <c:pt idx="7">
                  <c:v>39.481153246956254</c:v>
                </c:pt>
                <c:pt idx="8">
                  <c:v>29.965076139254315</c:v>
                </c:pt>
              </c:numCache>
            </c:numRef>
          </c:val>
          <c:smooth val="0"/>
          <c:extLst>
            <c:ext xmlns:c16="http://schemas.microsoft.com/office/drawing/2014/chart" uri="{C3380CC4-5D6E-409C-BE32-E72D297353CC}">
              <c16:uniqueId val="{00000005-C837-4EB1-82E6-2526A5B65A78}"/>
            </c:ext>
          </c:extLst>
        </c:ser>
        <c:dLbls>
          <c:showLegendKey val="0"/>
          <c:showVal val="0"/>
          <c:showCatName val="0"/>
          <c:showSerName val="0"/>
          <c:showPercent val="0"/>
          <c:showBubbleSize val="0"/>
        </c:dLbls>
        <c:marker val="1"/>
        <c:smooth val="0"/>
        <c:axId val="45660800"/>
        <c:axId val="45840256"/>
      </c:lineChart>
      <c:catAx>
        <c:axId val="45660800"/>
        <c:scaling>
          <c:orientation val="minMax"/>
        </c:scaling>
        <c:delete val="0"/>
        <c:axPos val="b"/>
        <c:majorGridlines>
          <c:spPr>
            <a:ln>
              <a:solidFill>
                <a:schemeClr val="bg1">
                  <a:lumMod val="85000"/>
                </a:schemeClr>
              </a:solidFill>
              <a:prstDash val="dash"/>
            </a:ln>
          </c:spPr>
        </c:majorGridlines>
        <c:numFmt formatCode="#,##0" sourceLinked="0"/>
        <c:majorTickMark val="out"/>
        <c:minorTickMark val="none"/>
        <c:tickLblPos val="nextTo"/>
        <c:spPr>
          <a:noFill/>
          <a:ln>
            <a:solidFill>
              <a:schemeClr val="tx1"/>
            </a:solidFill>
          </a:ln>
        </c:spPr>
        <c:txPr>
          <a:bodyPr/>
          <a:lstStyle/>
          <a:p>
            <a:pPr>
              <a:defRPr baseline="0">
                <a:latin typeface="Arial Narrow" panose="020B0606020202030204" pitchFamily="34" charset="0"/>
              </a:defRPr>
            </a:pPr>
            <a:endParaRPr lang="cs-CZ"/>
          </a:p>
        </c:txPr>
        <c:crossAx val="45840256"/>
        <c:crosses val="autoZero"/>
        <c:auto val="1"/>
        <c:lblAlgn val="ctr"/>
        <c:lblOffset val="100"/>
        <c:noMultiLvlLbl val="0"/>
      </c:catAx>
      <c:valAx>
        <c:axId val="45840256"/>
        <c:scaling>
          <c:orientation val="minMax"/>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solidFill>
            <a:schemeClr val="lt1"/>
          </a:solidFill>
        </c:spPr>
        <c:txPr>
          <a:bodyPr/>
          <a:lstStyle/>
          <a:p>
            <a:pPr>
              <a:defRPr baseline="0">
                <a:latin typeface="Arial Narrow" panose="020B0606020202030204" pitchFamily="34" charset="0"/>
              </a:defRPr>
            </a:pPr>
            <a:endParaRPr lang="cs-CZ"/>
          </a:p>
        </c:txPr>
        <c:crossAx val="45660800"/>
        <c:crosses val="autoZero"/>
        <c:crossBetween val="between"/>
      </c:valAx>
      <c:spPr>
        <a:ln>
          <a:solidFill>
            <a:schemeClr val="tx1"/>
          </a:solidFill>
        </a:ln>
      </c:spPr>
    </c:plotArea>
    <c:legend>
      <c:legendPos val="r"/>
      <c:layout>
        <c:manualLayout>
          <c:xMode val="edge"/>
          <c:yMode val="edge"/>
          <c:x val="0.76664536211269207"/>
          <c:y val="3.7875260181725948E-2"/>
          <c:w val="0.18946747610807271"/>
          <c:h val="0.8770836678152848"/>
        </c:manualLayout>
      </c:layout>
      <c:overlay val="0"/>
    </c:legend>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476439</xdr:colOff>
      <xdr:row>3</xdr:row>
      <xdr:rowOff>163988</xdr:rowOff>
    </xdr:to>
    <xdr:grpSp>
      <xdr:nvGrpSpPr>
        <xdr:cNvPr id="16" name="Skupina 15">
          <a:extLst>
            <a:ext uri="{FF2B5EF4-FFF2-40B4-BE49-F238E27FC236}">
              <a16:creationId xmlns:a16="http://schemas.microsoft.com/office/drawing/2014/main" id="{00000000-0008-0000-0000-000010000000}"/>
            </a:ext>
          </a:extLst>
        </xdr:cNvPr>
        <xdr:cNvGrpSpPr/>
      </xdr:nvGrpSpPr>
      <xdr:grpSpPr>
        <a:xfrm>
          <a:off x="0" y="0"/>
          <a:ext cx="6879356" cy="735488"/>
          <a:chOff x="0" y="0"/>
          <a:chExt cx="6151752" cy="759301"/>
        </a:xfrm>
      </xdr:grpSpPr>
      <xdr:pic>
        <xdr:nvPicPr>
          <xdr:cNvPr id="17" name="Obrázek 16" descr="D:\SkyDrive\Dokumenty\11 Katalogy\10 Tlumiče\Greif\Šablona\Titul_01-Hlavní strana.emf">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98"/>
          <a:stretch/>
        </xdr:blipFill>
        <xdr:spPr bwMode="auto">
          <a:xfrm>
            <a:off x="31752" y="0"/>
            <a:ext cx="6120000" cy="759301"/>
          </a:xfrm>
          <a:prstGeom prst="rect">
            <a:avLst/>
          </a:prstGeom>
          <a:noFill/>
          <a:ln>
            <a:noFill/>
          </a:ln>
        </xdr:spPr>
      </xdr:pic>
      <xdr:sp macro="" textlink="">
        <xdr:nvSpPr>
          <xdr:cNvPr id="18" name="TextovéPole 17">
            <a:extLst>
              <a:ext uri="{FF2B5EF4-FFF2-40B4-BE49-F238E27FC236}">
                <a16:creationId xmlns:a16="http://schemas.microsoft.com/office/drawing/2014/main" id="{00000000-0008-0000-0000-000012000000}"/>
              </a:ext>
            </a:extLst>
          </xdr:cNvPr>
          <xdr:cNvSpPr txBox="1"/>
        </xdr:nvSpPr>
        <xdr:spPr>
          <a:xfrm>
            <a:off x="0" y="182563"/>
            <a:ext cx="93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cs-CZ" sz="1600" b="0">
                <a:solidFill>
                  <a:sysClr val="windowText" lastClr="000000"/>
                </a:solidFill>
                <a:latin typeface="Impact" pitchFamily="34" charset="0"/>
                <a:cs typeface="Arial" pitchFamily="34" charset="0"/>
              </a:rPr>
              <a:t>Q199-01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55564</xdr:colOff>
      <xdr:row>19</xdr:row>
      <xdr:rowOff>39687</xdr:rowOff>
    </xdr:from>
    <xdr:to>
      <xdr:col>24</xdr:col>
      <xdr:colOff>457200</xdr:colOff>
      <xdr:row>40</xdr:row>
      <xdr:rowOff>134937</xdr:rowOff>
    </xdr:to>
    <xdr:graphicFrame macro="">
      <xdr:nvGraphicFramePr>
        <xdr:cNvPr id="2" name="Graf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301613</xdr:colOff>
      <xdr:row>1</xdr:row>
      <xdr:rowOff>103170</xdr:rowOff>
    </xdr:from>
    <xdr:to>
      <xdr:col>24</xdr:col>
      <xdr:colOff>304666</xdr:colOff>
      <xdr:row>7</xdr:row>
      <xdr:rowOff>111123</xdr:rowOff>
    </xdr:to>
    <xdr:grpSp>
      <xdr:nvGrpSpPr>
        <xdr:cNvPr id="29" name="Skupina 28">
          <a:extLst>
            <a:ext uri="{FF2B5EF4-FFF2-40B4-BE49-F238E27FC236}">
              <a16:creationId xmlns:a16="http://schemas.microsoft.com/office/drawing/2014/main" id="{00000000-0008-0000-0100-00001D000000}"/>
            </a:ext>
          </a:extLst>
        </xdr:cNvPr>
        <xdr:cNvGrpSpPr/>
      </xdr:nvGrpSpPr>
      <xdr:grpSpPr>
        <a:xfrm>
          <a:off x="7868696" y="293670"/>
          <a:ext cx="6405970" cy="1150953"/>
          <a:chOff x="6603995" y="333360"/>
          <a:chExt cx="5678366" cy="1198578"/>
        </a:xfrm>
      </xdr:grpSpPr>
      <xdr:sp macro="" textlink="">
        <xdr:nvSpPr>
          <xdr:cNvPr id="4" name="TextovéPole 3">
            <a:extLst>
              <a:ext uri="{FF2B5EF4-FFF2-40B4-BE49-F238E27FC236}">
                <a16:creationId xmlns:a16="http://schemas.microsoft.com/office/drawing/2014/main" id="{00000000-0008-0000-0100-000004000000}"/>
              </a:ext>
            </a:extLst>
          </xdr:cNvPr>
          <xdr:cNvSpPr txBox="1"/>
        </xdr:nvSpPr>
        <xdr:spPr>
          <a:xfrm>
            <a:off x="6603995" y="333360"/>
            <a:ext cx="900000" cy="720000"/>
          </a:xfrm>
          <a:prstGeom prst="rect">
            <a:avLst/>
          </a:prstGeom>
          <a:ln w="19050">
            <a:solidFill>
              <a:schemeClr val="tx1"/>
            </a:solidFill>
          </a:ln>
        </xdr:spPr>
        <xdr:style>
          <a:lnRef idx="1">
            <a:schemeClr val="accent2"/>
          </a:lnRef>
          <a:fillRef idx="3">
            <a:schemeClr val="accent2"/>
          </a:fillRef>
          <a:effectRef idx="2">
            <a:schemeClr val="accent2"/>
          </a:effectRef>
          <a:fontRef idx="minor">
            <a:schemeClr val="lt1"/>
          </a:fontRef>
        </xdr:style>
        <xdr:txBody>
          <a:bodyPr vertOverflow="clip" wrap="square" rtlCol="0" anchor="ctr">
            <a:noAutofit/>
          </a:bodyPr>
          <a:lstStyle/>
          <a:p>
            <a:pPr algn="ctr"/>
            <a:r>
              <a:rPr lang="cs-CZ" sz="1100" b="1">
                <a:latin typeface="Arial Narrow" pitchFamily="34" charset="0"/>
              </a:rPr>
              <a:t>ZDROJ</a:t>
            </a:r>
            <a:r>
              <a:rPr lang="cs-CZ" sz="1100" b="1" baseline="0">
                <a:latin typeface="Arial Narrow" pitchFamily="34" charset="0"/>
              </a:rPr>
              <a:t> HLUKU</a:t>
            </a:r>
            <a:endParaRPr lang="cs-CZ" sz="1100" b="1">
              <a:latin typeface="Arial Narrow" pitchFamily="34" charset="0"/>
            </a:endParaRPr>
          </a:p>
          <a:p>
            <a:pPr algn="ctr"/>
            <a:r>
              <a:rPr lang="cs-CZ" sz="1100" b="1">
                <a:latin typeface="Arial Narrow" pitchFamily="34" charset="0"/>
              </a:rPr>
              <a:t>L</a:t>
            </a:r>
            <a:r>
              <a:rPr lang="cs-CZ" sz="800" b="1">
                <a:latin typeface="Arial Narrow" pitchFamily="34" charset="0"/>
              </a:rPr>
              <a:t>WZ</a:t>
            </a:r>
            <a:r>
              <a:rPr lang="cs-CZ" sz="1100" b="1">
                <a:latin typeface="Arial Narrow" pitchFamily="34" charset="0"/>
              </a:rPr>
              <a:t> </a:t>
            </a:r>
          </a:p>
        </xdr:txBody>
      </xdr:sp>
      <xdr:sp macro="" textlink="">
        <xdr:nvSpPr>
          <xdr:cNvPr id="5" name="TextovéPole 4">
            <a:extLst>
              <a:ext uri="{FF2B5EF4-FFF2-40B4-BE49-F238E27FC236}">
                <a16:creationId xmlns:a16="http://schemas.microsoft.com/office/drawing/2014/main" id="{00000000-0008-0000-0100-000005000000}"/>
              </a:ext>
            </a:extLst>
          </xdr:cNvPr>
          <xdr:cNvSpPr txBox="1"/>
        </xdr:nvSpPr>
        <xdr:spPr>
          <a:xfrm>
            <a:off x="8191504" y="333360"/>
            <a:ext cx="900000" cy="720000"/>
          </a:xfrm>
          <a:prstGeom prst="rect">
            <a:avLst/>
          </a:prstGeom>
          <a:ln w="19050">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wrap="square" rtlCol="0" anchor="ctr">
            <a:noAutofit/>
          </a:bodyPr>
          <a:lstStyle/>
          <a:p>
            <a:pPr algn="ctr"/>
            <a:r>
              <a:rPr lang="cs-CZ" sz="1100" b="1" baseline="0">
                <a:solidFill>
                  <a:schemeClr val="bg1"/>
                </a:solidFill>
                <a:latin typeface="Arial Narrow" pitchFamily="34" charset="0"/>
              </a:rPr>
              <a:t>ÚTLUM TLUMIČEM</a:t>
            </a:r>
            <a:endParaRPr lang="cs-CZ" sz="1100" b="1">
              <a:solidFill>
                <a:schemeClr val="bg1"/>
              </a:solidFill>
              <a:latin typeface="Arial Narrow" pitchFamily="34" charset="0"/>
            </a:endParaRPr>
          </a:p>
          <a:p>
            <a:pPr algn="ctr"/>
            <a:r>
              <a:rPr lang="cs-CZ" sz="1100" b="1">
                <a:solidFill>
                  <a:schemeClr val="bg1"/>
                </a:solidFill>
                <a:latin typeface="Arial Narrow" pitchFamily="34" charset="0"/>
              </a:rPr>
              <a:t>D</a:t>
            </a:r>
            <a:r>
              <a:rPr lang="cs-CZ" sz="800" b="1">
                <a:solidFill>
                  <a:schemeClr val="bg1"/>
                </a:solidFill>
                <a:latin typeface="Arial Narrow" pitchFamily="34" charset="0"/>
              </a:rPr>
              <a:t>T</a:t>
            </a:r>
            <a:r>
              <a:rPr lang="cs-CZ" sz="1100" b="1">
                <a:solidFill>
                  <a:schemeClr val="bg1"/>
                </a:solidFill>
                <a:latin typeface="Arial Narrow" pitchFamily="34" charset="0"/>
              </a:rPr>
              <a:t>,</a:t>
            </a:r>
            <a:r>
              <a:rPr lang="cs-CZ" sz="1100" b="1" baseline="0">
                <a:solidFill>
                  <a:schemeClr val="bg1"/>
                </a:solidFill>
                <a:latin typeface="Arial Narrow" pitchFamily="34" charset="0"/>
              </a:rPr>
              <a:t> L</a:t>
            </a:r>
            <a:r>
              <a:rPr lang="cs-CZ" sz="800" b="1" baseline="0">
                <a:solidFill>
                  <a:schemeClr val="bg1"/>
                </a:solidFill>
                <a:latin typeface="Arial Narrow" pitchFamily="34" charset="0"/>
              </a:rPr>
              <a:t>WT</a:t>
            </a:r>
            <a:endParaRPr lang="cs-CZ" sz="800" b="1">
              <a:solidFill>
                <a:schemeClr val="bg1"/>
              </a:solidFill>
              <a:latin typeface="Arial Narrow" pitchFamily="34" charset="0"/>
            </a:endParaRPr>
          </a:p>
        </xdr:txBody>
      </xdr:sp>
      <xdr:sp macro="" textlink="">
        <xdr:nvSpPr>
          <xdr:cNvPr id="6" name="Šipka doprava 5">
            <a:extLst>
              <a:ext uri="{FF2B5EF4-FFF2-40B4-BE49-F238E27FC236}">
                <a16:creationId xmlns:a16="http://schemas.microsoft.com/office/drawing/2014/main" id="{00000000-0008-0000-0100-000006000000}"/>
              </a:ext>
            </a:extLst>
          </xdr:cNvPr>
          <xdr:cNvSpPr/>
        </xdr:nvSpPr>
        <xdr:spPr bwMode="auto">
          <a:xfrm>
            <a:off x="7508869" y="579423"/>
            <a:ext cx="658812" cy="254000"/>
          </a:xfrm>
          <a:prstGeom prst="rightArrow">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lang="cs-CZ" sz="1100"/>
          </a:p>
        </xdr:txBody>
      </xdr:sp>
      <xdr:sp macro="" textlink="">
        <xdr:nvSpPr>
          <xdr:cNvPr id="7" name="Šipka doprava 6">
            <a:extLst>
              <a:ext uri="{FF2B5EF4-FFF2-40B4-BE49-F238E27FC236}">
                <a16:creationId xmlns:a16="http://schemas.microsoft.com/office/drawing/2014/main" id="{00000000-0008-0000-0100-000007000000}"/>
              </a:ext>
            </a:extLst>
          </xdr:cNvPr>
          <xdr:cNvSpPr/>
        </xdr:nvSpPr>
        <xdr:spPr bwMode="auto">
          <a:xfrm>
            <a:off x="9096367" y="579423"/>
            <a:ext cx="658812" cy="254000"/>
          </a:xfrm>
          <a:prstGeom prst="rightArrow">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lang="cs-CZ" sz="1100"/>
          </a:p>
        </xdr:txBody>
      </xdr:sp>
      <xdr:sp macro="" textlink="">
        <xdr:nvSpPr>
          <xdr:cNvPr id="8" name="TextovéPole 7">
            <a:extLst>
              <a:ext uri="{FF2B5EF4-FFF2-40B4-BE49-F238E27FC236}">
                <a16:creationId xmlns:a16="http://schemas.microsoft.com/office/drawing/2014/main" id="{00000000-0008-0000-0100-000008000000}"/>
              </a:ext>
            </a:extLst>
          </xdr:cNvPr>
          <xdr:cNvSpPr txBox="1"/>
        </xdr:nvSpPr>
        <xdr:spPr>
          <a:xfrm>
            <a:off x="9786940" y="333360"/>
            <a:ext cx="900000" cy="720000"/>
          </a:xfrm>
          <a:prstGeom prst="rect">
            <a:avLst/>
          </a:prstGeom>
          <a:solidFill>
            <a:srgbClr val="FFC000"/>
          </a:solidFill>
          <a:ln w="19050">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wrap="square" rtlCol="0" anchor="ctr">
            <a:noAutofit/>
          </a:bodyPr>
          <a:lstStyle/>
          <a:p>
            <a:pPr algn="ctr"/>
            <a:r>
              <a:rPr lang="cs-CZ" sz="1100" b="1" baseline="0">
                <a:solidFill>
                  <a:sysClr val="windowText" lastClr="000000"/>
                </a:solidFill>
                <a:latin typeface="Arial Narrow" pitchFamily="34" charset="0"/>
              </a:rPr>
              <a:t> ÚTLUM</a:t>
            </a:r>
          </a:p>
          <a:p>
            <a:pPr algn="ctr"/>
            <a:r>
              <a:rPr lang="cs-CZ" sz="1100" b="1" baseline="0">
                <a:solidFill>
                  <a:sysClr val="windowText" lastClr="000000"/>
                </a:solidFill>
                <a:latin typeface="Arial Narrow" pitchFamily="34" charset="0"/>
              </a:rPr>
              <a:t>POTRUBÍM</a:t>
            </a:r>
            <a:endParaRPr lang="cs-CZ" sz="1100" b="1">
              <a:solidFill>
                <a:sysClr val="windowText" lastClr="000000"/>
              </a:solidFill>
              <a:latin typeface="Arial Narrow" pitchFamily="34" charset="0"/>
            </a:endParaRPr>
          </a:p>
          <a:p>
            <a:pPr algn="ctr"/>
            <a:r>
              <a:rPr lang="cs-CZ" sz="1100" b="1">
                <a:solidFill>
                  <a:sysClr val="windowText" lastClr="000000"/>
                </a:solidFill>
                <a:latin typeface="Arial Narrow" pitchFamily="34" charset="0"/>
              </a:rPr>
              <a:t>D</a:t>
            </a:r>
            <a:r>
              <a:rPr lang="cs-CZ" sz="800" b="1">
                <a:solidFill>
                  <a:sysClr val="windowText" lastClr="000000"/>
                </a:solidFill>
                <a:latin typeface="Arial Narrow" pitchFamily="34" charset="0"/>
              </a:rPr>
              <a:t>P</a:t>
            </a:r>
          </a:p>
        </xdr:txBody>
      </xdr:sp>
      <xdr:sp macro="" textlink="">
        <xdr:nvSpPr>
          <xdr:cNvPr id="9" name="Šipka doprava 8">
            <a:extLst>
              <a:ext uri="{FF2B5EF4-FFF2-40B4-BE49-F238E27FC236}">
                <a16:creationId xmlns:a16="http://schemas.microsoft.com/office/drawing/2014/main" id="{00000000-0008-0000-0100-000009000000}"/>
              </a:ext>
            </a:extLst>
          </xdr:cNvPr>
          <xdr:cNvSpPr/>
        </xdr:nvSpPr>
        <xdr:spPr bwMode="auto">
          <a:xfrm>
            <a:off x="10693392" y="579423"/>
            <a:ext cx="658812" cy="254000"/>
          </a:xfrm>
          <a:prstGeom prst="rightArrow">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lang="cs-CZ" sz="1100"/>
          </a:p>
        </xdr:txBody>
      </xdr:sp>
      <xdr:sp macro="" textlink="">
        <xdr:nvSpPr>
          <xdr:cNvPr id="10" name="TextovéPole 9">
            <a:extLst>
              <a:ext uri="{FF2B5EF4-FFF2-40B4-BE49-F238E27FC236}">
                <a16:creationId xmlns:a16="http://schemas.microsoft.com/office/drawing/2014/main" id="{00000000-0008-0000-0100-00000A000000}"/>
              </a:ext>
            </a:extLst>
          </xdr:cNvPr>
          <xdr:cNvSpPr txBox="1"/>
        </xdr:nvSpPr>
        <xdr:spPr>
          <a:xfrm>
            <a:off x="11382361" y="333360"/>
            <a:ext cx="900000" cy="720000"/>
          </a:xfrm>
          <a:prstGeom prst="rect">
            <a:avLst/>
          </a:prstGeom>
          <a:solidFill>
            <a:srgbClr val="006F3D"/>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lang="cs-CZ" sz="1100" b="1" baseline="0">
                <a:solidFill>
                  <a:schemeClr val="bg1"/>
                </a:solidFill>
                <a:effectLst/>
                <a:latin typeface="Arial Narrow" panose="020B0606020202030204" pitchFamily="34" charset="0"/>
                <a:ea typeface="+mn-ea"/>
                <a:cs typeface="+mn-cs"/>
              </a:rPr>
              <a:t>VÝSLEDNÝ</a:t>
            </a:r>
          </a:p>
          <a:p>
            <a:pPr algn="ctr"/>
            <a:r>
              <a:rPr lang="cs-CZ" sz="1100" b="1" baseline="0">
                <a:solidFill>
                  <a:schemeClr val="bg1"/>
                </a:solidFill>
                <a:effectLst/>
                <a:latin typeface="Arial Narrow" panose="020B0606020202030204" pitchFamily="34" charset="0"/>
                <a:ea typeface="+mn-ea"/>
                <a:cs typeface="+mn-cs"/>
              </a:rPr>
              <a:t>ÚTLUM</a:t>
            </a:r>
            <a:endParaRPr lang="cs-CZ" sz="2000">
              <a:solidFill>
                <a:schemeClr val="bg1"/>
              </a:solidFill>
              <a:effectLst/>
              <a:latin typeface="Arial Narrow" panose="020B0606020202030204" pitchFamily="34" charset="0"/>
            </a:endParaRPr>
          </a:p>
          <a:p>
            <a:pPr algn="ctr"/>
            <a:r>
              <a:rPr lang="cs-CZ" sz="1100" b="1">
                <a:solidFill>
                  <a:schemeClr val="bg1"/>
                </a:solidFill>
                <a:effectLst/>
                <a:latin typeface="Arial Narrow" panose="020B0606020202030204" pitchFamily="34" charset="0"/>
                <a:ea typeface="+mn-ea"/>
                <a:cs typeface="+mn-cs"/>
              </a:rPr>
              <a:t>D</a:t>
            </a:r>
            <a:r>
              <a:rPr lang="cs-CZ" sz="800" b="1">
                <a:solidFill>
                  <a:schemeClr val="bg1"/>
                </a:solidFill>
                <a:effectLst/>
                <a:latin typeface="Arial Narrow" panose="020B0606020202030204" pitchFamily="34" charset="0"/>
                <a:ea typeface="+mn-ea"/>
                <a:cs typeface="+mn-cs"/>
              </a:rPr>
              <a:t>C</a:t>
            </a:r>
            <a:r>
              <a:rPr lang="cs-CZ" sz="1100" b="1">
                <a:solidFill>
                  <a:schemeClr val="bg1"/>
                </a:solidFill>
                <a:effectLst/>
                <a:latin typeface="Arial Narrow" panose="020B0606020202030204" pitchFamily="34" charset="0"/>
                <a:ea typeface="+mn-ea"/>
                <a:cs typeface="+mn-cs"/>
              </a:rPr>
              <a:t>,</a:t>
            </a:r>
            <a:r>
              <a:rPr lang="cs-CZ" sz="1100" b="1" baseline="0">
                <a:solidFill>
                  <a:schemeClr val="bg1"/>
                </a:solidFill>
                <a:effectLst/>
                <a:latin typeface="Arial Narrow" panose="020B0606020202030204" pitchFamily="34" charset="0"/>
                <a:ea typeface="+mn-ea"/>
                <a:cs typeface="+mn-cs"/>
              </a:rPr>
              <a:t> </a:t>
            </a:r>
            <a:r>
              <a:rPr lang="cs-CZ" sz="1100" b="1">
                <a:solidFill>
                  <a:schemeClr val="bg1"/>
                </a:solidFill>
                <a:effectLst/>
                <a:latin typeface="Arial Narrow" panose="020B0606020202030204" pitchFamily="34" charset="0"/>
                <a:ea typeface="+mn-ea"/>
                <a:cs typeface="+mn-cs"/>
              </a:rPr>
              <a:t>L</a:t>
            </a:r>
            <a:r>
              <a:rPr lang="cs-CZ" sz="800" b="1">
                <a:solidFill>
                  <a:schemeClr val="bg1"/>
                </a:solidFill>
                <a:effectLst/>
                <a:latin typeface="Arial Narrow" panose="020B0606020202030204" pitchFamily="34" charset="0"/>
                <a:ea typeface="+mn-ea"/>
                <a:cs typeface="+mn-cs"/>
              </a:rPr>
              <a:t>WC</a:t>
            </a:r>
            <a:r>
              <a:rPr lang="cs-CZ" sz="1100" b="1">
                <a:solidFill>
                  <a:schemeClr val="bg1"/>
                </a:solidFill>
                <a:effectLst/>
                <a:latin typeface="+mn-lt"/>
                <a:ea typeface="+mn-ea"/>
                <a:cs typeface="+mn-cs"/>
              </a:rPr>
              <a:t> </a:t>
            </a:r>
            <a:endParaRPr lang="cs-CZ" sz="2000">
              <a:solidFill>
                <a:schemeClr val="bg1"/>
              </a:solidFill>
              <a:effectLst/>
            </a:endParaRPr>
          </a:p>
        </xdr:txBody>
      </xdr:sp>
      <xdr:sp macro="" textlink="">
        <xdr:nvSpPr>
          <xdr:cNvPr id="14" name="TextovéPole 13">
            <a:extLst>
              <a:ext uri="{FF2B5EF4-FFF2-40B4-BE49-F238E27FC236}">
                <a16:creationId xmlns:a16="http://schemas.microsoft.com/office/drawing/2014/main" id="{00000000-0008-0000-0100-00000E000000}"/>
              </a:ext>
            </a:extLst>
          </xdr:cNvPr>
          <xdr:cNvSpPr txBox="1"/>
        </xdr:nvSpPr>
        <xdr:spPr>
          <a:xfrm>
            <a:off x="7993053" y="1166797"/>
            <a:ext cx="2916000" cy="293702"/>
          </a:xfrm>
          <a:prstGeom prst="rect">
            <a:avLst/>
          </a:prstGeom>
          <a:solidFill>
            <a:sysClr val="window" lastClr="FFFFFF"/>
          </a:solidFill>
          <a:ln w="19050">
            <a:solidFill>
              <a:schemeClr val="tx1"/>
            </a:solidFill>
          </a:ln>
        </xdr:spPr>
        <xdr:style>
          <a:lnRef idx="1">
            <a:schemeClr val="accent2"/>
          </a:lnRef>
          <a:fillRef idx="3">
            <a:schemeClr val="accent2"/>
          </a:fillRef>
          <a:effectRef idx="2">
            <a:schemeClr val="accent2"/>
          </a:effectRef>
          <a:fontRef idx="minor">
            <a:schemeClr val="lt1"/>
          </a:fontRef>
        </xdr:style>
        <xdr:txBody>
          <a:bodyPr vertOverflow="clip" wrap="square" rtlCol="0" anchor="ctr">
            <a:noAutofit/>
          </a:bodyPr>
          <a:lstStyle/>
          <a:p>
            <a:pPr algn="ctr"/>
            <a:r>
              <a:rPr lang="cs-CZ" sz="1100" b="1">
                <a:solidFill>
                  <a:sysClr val="windowText" lastClr="000000"/>
                </a:solidFill>
                <a:latin typeface="Arial Narrow" pitchFamily="34" charset="0"/>
              </a:rPr>
              <a:t>CELKOVÝ ÚTLUM HLUKU</a:t>
            </a:r>
            <a:r>
              <a:rPr lang="cs-CZ" sz="1100" b="1" baseline="0">
                <a:solidFill>
                  <a:sysClr val="windowText" lastClr="000000"/>
                </a:solidFill>
                <a:latin typeface="Arial Narrow" pitchFamily="34" charset="0"/>
              </a:rPr>
              <a:t> </a:t>
            </a:r>
            <a:r>
              <a:rPr lang="cs-CZ" sz="1100" b="1">
                <a:solidFill>
                  <a:sysClr val="windowText" lastClr="000000"/>
                </a:solidFill>
                <a:latin typeface="Arial Narrow" pitchFamily="34" charset="0"/>
              </a:rPr>
              <a:t>D</a:t>
            </a:r>
            <a:r>
              <a:rPr lang="cs-CZ" sz="800" b="1">
                <a:solidFill>
                  <a:sysClr val="windowText" lastClr="000000"/>
                </a:solidFill>
                <a:latin typeface="Arial Narrow" pitchFamily="34" charset="0"/>
              </a:rPr>
              <a:t>C</a:t>
            </a:r>
            <a:r>
              <a:rPr lang="cs-CZ" sz="1100" b="1">
                <a:solidFill>
                  <a:sysClr val="windowText" lastClr="000000"/>
                </a:solidFill>
                <a:latin typeface="Arial Narrow" pitchFamily="34" charset="0"/>
              </a:rPr>
              <a:t> = L</a:t>
            </a:r>
            <a:r>
              <a:rPr lang="cs-CZ" sz="800" b="1">
                <a:solidFill>
                  <a:sysClr val="windowText" lastClr="000000"/>
                </a:solidFill>
                <a:latin typeface="Arial Narrow" pitchFamily="34" charset="0"/>
              </a:rPr>
              <a:t>WZ</a:t>
            </a:r>
            <a:r>
              <a:rPr lang="cs-CZ" sz="1100" b="1">
                <a:solidFill>
                  <a:sysClr val="windowText" lastClr="000000"/>
                </a:solidFill>
                <a:latin typeface="Arial Narrow" pitchFamily="34" charset="0"/>
              </a:rPr>
              <a:t>  - L</a:t>
            </a:r>
            <a:r>
              <a:rPr lang="cs-CZ" sz="800" b="1">
                <a:solidFill>
                  <a:sysClr val="windowText" lastClr="000000"/>
                </a:solidFill>
                <a:latin typeface="Arial Narrow" pitchFamily="34" charset="0"/>
              </a:rPr>
              <a:t>WC</a:t>
            </a:r>
            <a:endParaRPr lang="cs-CZ" sz="1100" b="1">
              <a:solidFill>
                <a:sysClr val="windowText" lastClr="000000"/>
              </a:solidFill>
              <a:latin typeface="Arial Narrow" pitchFamily="34" charset="0"/>
            </a:endParaRPr>
          </a:p>
        </xdr:txBody>
      </xdr:sp>
      <xdr:sp macro="" textlink="">
        <xdr:nvSpPr>
          <xdr:cNvPr id="24" name="Šipka doprava 23">
            <a:extLst>
              <a:ext uri="{FF2B5EF4-FFF2-40B4-BE49-F238E27FC236}">
                <a16:creationId xmlns:a16="http://schemas.microsoft.com/office/drawing/2014/main" id="{00000000-0008-0000-0100-000018000000}"/>
              </a:ext>
            </a:extLst>
          </xdr:cNvPr>
          <xdr:cNvSpPr/>
        </xdr:nvSpPr>
        <xdr:spPr bwMode="auto">
          <a:xfrm>
            <a:off x="10907713" y="1192198"/>
            <a:ext cx="903294" cy="254000"/>
          </a:xfrm>
          <a:prstGeom prst="rightArrow">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lang="cs-CZ" sz="1100"/>
          </a:p>
        </xdr:txBody>
      </xdr:sp>
      <xdr:sp macro="" textlink="">
        <xdr:nvSpPr>
          <xdr:cNvPr id="25" name="Šipka doprava 24">
            <a:extLst>
              <a:ext uri="{FF2B5EF4-FFF2-40B4-BE49-F238E27FC236}">
                <a16:creationId xmlns:a16="http://schemas.microsoft.com/office/drawing/2014/main" id="{00000000-0008-0000-0100-000019000000}"/>
              </a:ext>
            </a:extLst>
          </xdr:cNvPr>
          <xdr:cNvSpPr/>
        </xdr:nvSpPr>
        <xdr:spPr bwMode="auto">
          <a:xfrm rot="10800000">
            <a:off x="7089770" y="1192198"/>
            <a:ext cx="903294" cy="254000"/>
          </a:xfrm>
          <a:prstGeom prst="rightArrow">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lang="cs-CZ" sz="1100"/>
          </a:p>
        </xdr:txBody>
      </xdr:sp>
      <xdr:cxnSp macro="">
        <xdr:nvCxnSpPr>
          <xdr:cNvPr id="27" name="Přímá spojnice 26">
            <a:extLst>
              <a:ext uri="{FF2B5EF4-FFF2-40B4-BE49-F238E27FC236}">
                <a16:creationId xmlns:a16="http://schemas.microsoft.com/office/drawing/2014/main" id="{00000000-0008-0000-0100-00001B000000}"/>
              </a:ext>
            </a:extLst>
          </xdr:cNvPr>
          <xdr:cNvCxnSpPr>
            <a:stCxn id="4" idx="2"/>
          </xdr:cNvCxnSpPr>
        </xdr:nvCxnSpPr>
        <xdr:spPr bwMode="auto">
          <a:xfrm>
            <a:off x="7053995" y="1053360"/>
            <a:ext cx="2443" cy="462703"/>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xnSp macro="">
        <xdr:nvCxnSpPr>
          <xdr:cNvPr id="28" name="Přímá spojnice 27">
            <a:extLst>
              <a:ext uri="{FF2B5EF4-FFF2-40B4-BE49-F238E27FC236}">
                <a16:creationId xmlns:a16="http://schemas.microsoft.com/office/drawing/2014/main" id="{00000000-0008-0000-0100-00001C000000}"/>
              </a:ext>
            </a:extLst>
          </xdr:cNvPr>
          <xdr:cNvCxnSpPr/>
        </xdr:nvCxnSpPr>
        <xdr:spPr bwMode="auto">
          <a:xfrm>
            <a:off x="11832370" y="1069235"/>
            <a:ext cx="2443" cy="462703"/>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grpSp>
    <xdr:clientData/>
  </xdr:twoCellAnchor>
  <xdr:twoCellAnchor>
    <xdr:from>
      <xdr:col>0</xdr:col>
      <xdr:colOff>0</xdr:colOff>
      <xdr:row>0</xdr:row>
      <xdr:rowOff>0</xdr:rowOff>
    </xdr:from>
    <xdr:to>
      <xdr:col>11</xdr:col>
      <xdr:colOff>476439</xdr:colOff>
      <xdr:row>3</xdr:row>
      <xdr:rowOff>163988</xdr:rowOff>
    </xdr:to>
    <xdr:grpSp>
      <xdr:nvGrpSpPr>
        <xdr:cNvPr id="18" name="Skupina 17">
          <a:extLst>
            <a:ext uri="{FF2B5EF4-FFF2-40B4-BE49-F238E27FC236}">
              <a16:creationId xmlns:a16="http://schemas.microsoft.com/office/drawing/2014/main" id="{00000000-0008-0000-0100-000012000000}"/>
            </a:ext>
          </a:extLst>
        </xdr:cNvPr>
        <xdr:cNvGrpSpPr/>
      </xdr:nvGrpSpPr>
      <xdr:grpSpPr>
        <a:xfrm>
          <a:off x="0" y="0"/>
          <a:ext cx="6879356" cy="735488"/>
          <a:chOff x="0" y="0"/>
          <a:chExt cx="6151752" cy="759301"/>
        </a:xfrm>
      </xdr:grpSpPr>
      <xdr:pic>
        <xdr:nvPicPr>
          <xdr:cNvPr id="3" name="Obrázek 2" descr="D:\SkyDrive\Dokumenty\11 Katalogy\10 Tlumiče\Greif\Šablona\Titul_01-Hlavní strana.emf">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498"/>
          <a:stretch/>
        </xdr:blipFill>
        <xdr:spPr bwMode="auto">
          <a:xfrm>
            <a:off x="31752" y="0"/>
            <a:ext cx="6120000" cy="759301"/>
          </a:xfrm>
          <a:prstGeom prst="rect">
            <a:avLst/>
          </a:prstGeom>
          <a:noFill/>
          <a:ln>
            <a:noFill/>
          </a:ln>
        </xdr:spPr>
      </xdr:pic>
      <xdr:sp macro="" textlink="">
        <xdr:nvSpPr>
          <xdr:cNvPr id="17" name="TextovéPole 16">
            <a:extLst>
              <a:ext uri="{FF2B5EF4-FFF2-40B4-BE49-F238E27FC236}">
                <a16:creationId xmlns:a16="http://schemas.microsoft.com/office/drawing/2014/main" id="{00000000-0008-0000-0100-000011000000}"/>
              </a:ext>
            </a:extLst>
          </xdr:cNvPr>
          <xdr:cNvSpPr txBox="1"/>
        </xdr:nvSpPr>
        <xdr:spPr>
          <a:xfrm>
            <a:off x="0" y="182563"/>
            <a:ext cx="93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cs-CZ" sz="1600" b="0">
                <a:solidFill>
                  <a:sysClr val="windowText" lastClr="000000"/>
                </a:solidFill>
                <a:latin typeface="Impact" pitchFamily="34" charset="0"/>
                <a:cs typeface="Arial" pitchFamily="34" charset="0"/>
              </a:rPr>
              <a:t>Q199-01</a:t>
            </a:r>
          </a:p>
        </xdr:txBody>
      </xdr:sp>
    </xdr:grpSp>
    <xdr:clientData/>
  </xdr:twoCellAnchor>
  <xdr:oneCellAnchor>
    <xdr:from>
      <xdr:col>22</xdr:col>
      <xdr:colOff>182563</xdr:colOff>
      <xdr:row>21</xdr:row>
      <xdr:rowOff>150812</xdr:rowOff>
    </xdr:from>
    <xdr:ext cx="1132169" cy="436786"/>
    <xdr:sp macro="" textlink="">
      <xdr:nvSpPr>
        <xdr:cNvPr id="19" name="TextovéPole 18">
          <a:extLst>
            <a:ext uri="{FF2B5EF4-FFF2-40B4-BE49-F238E27FC236}">
              <a16:creationId xmlns:a16="http://schemas.microsoft.com/office/drawing/2014/main" id="{513CDF91-EC07-41C8-9DF0-6F17E6445154}"/>
            </a:ext>
          </a:extLst>
        </xdr:cNvPr>
        <xdr:cNvSpPr txBox="1"/>
      </xdr:nvSpPr>
      <xdr:spPr>
        <a:xfrm>
          <a:off x="11533188" y="4318000"/>
          <a:ext cx="113216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cs-CZ" sz="1100"/>
            <a:t>Akustický</a:t>
          </a:r>
          <a:r>
            <a:rPr lang="cs-CZ" sz="1100" baseline="0"/>
            <a:t> výkon</a:t>
          </a:r>
        </a:p>
        <a:p>
          <a:r>
            <a:rPr lang="cs-CZ" sz="1100" baseline="0"/>
            <a:t>zdroje hluku</a:t>
          </a:r>
          <a:endParaRPr lang="cs-CZ" sz="1100"/>
        </a:p>
      </xdr:txBody>
    </xdr:sp>
    <xdr:clientData/>
  </xdr:oneCellAnchor>
  <xdr:oneCellAnchor>
    <xdr:from>
      <xdr:col>22</xdr:col>
      <xdr:colOff>182563</xdr:colOff>
      <xdr:row>24</xdr:row>
      <xdr:rowOff>174627</xdr:rowOff>
    </xdr:from>
    <xdr:ext cx="971804" cy="436786"/>
    <xdr:sp macro="" textlink="">
      <xdr:nvSpPr>
        <xdr:cNvPr id="20" name="TextovéPole 19">
          <a:extLst>
            <a:ext uri="{FF2B5EF4-FFF2-40B4-BE49-F238E27FC236}">
              <a16:creationId xmlns:a16="http://schemas.microsoft.com/office/drawing/2014/main" id="{ADF9582A-7973-4161-9B17-0F8662ACBEFA}"/>
            </a:ext>
          </a:extLst>
        </xdr:cNvPr>
        <xdr:cNvSpPr txBox="1"/>
      </xdr:nvSpPr>
      <xdr:spPr>
        <a:xfrm>
          <a:off x="11533188" y="4937127"/>
          <a:ext cx="97180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cs-CZ" sz="1100" baseline="0"/>
            <a:t>Vlastní hluk</a:t>
          </a:r>
        </a:p>
        <a:p>
          <a:r>
            <a:rPr lang="cs-CZ" sz="1100" baseline="0"/>
            <a:t>tlumiče hluku</a:t>
          </a:r>
          <a:endParaRPr lang="cs-CZ" sz="1100"/>
        </a:p>
      </xdr:txBody>
    </xdr:sp>
    <xdr:clientData/>
  </xdr:oneCellAnchor>
  <xdr:oneCellAnchor>
    <xdr:from>
      <xdr:col>22</xdr:col>
      <xdr:colOff>182563</xdr:colOff>
      <xdr:row>28</xdr:row>
      <xdr:rowOff>7939</xdr:rowOff>
    </xdr:from>
    <xdr:ext cx="1346331" cy="436786"/>
    <xdr:sp macro="" textlink="">
      <xdr:nvSpPr>
        <xdr:cNvPr id="21" name="TextovéPole 20">
          <a:extLst>
            <a:ext uri="{FF2B5EF4-FFF2-40B4-BE49-F238E27FC236}">
              <a16:creationId xmlns:a16="http://schemas.microsoft.com/office/drawing/2014/main" id="{628760B8-936D-4318-8870-3BB64463B9BB}"/>
            </a:ext>
          </a:extLst>
        </xdr:cNvPr>
        <xdr:cNvSpPr txBox="1"/>
      </xdr:nvSpPr>
      <xdr:spPr>
        <a:xfrm>
          <a:off x="11533188" y="5564189"/>
          <a:ext cx="13463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cs-CZ" sz="1100" baseline="0"/>
            <a:t>Akustický výkon</a:t>
          </a:r>
        </a:p>
        <a:p>
          <a:r>
            <a:rPr lang="cs-CZ" sz="1100" baseline="0"/>
            <a:t>zatlumeného zdroje</a:t>
          </a:r>
          <a:endParaRPr lang="cs-CZ" sz="1100"/>
        </a:p>
      </xdr:txBody>
    </xdr:sp>
    <xdr:clientData/>
  </xdr:oneCellAnchor>
  <xdr:oneCellAnchor>
    <xdr:from>
      <xdr:col>22</xdr:col>
      <xdr:colOff>182563</xdr:colOff>
      <xdr:row>31</xdr:row>
      <xdr:rowOff>31751</xdr:rowOff>
    </xdr:from>
    <xdr:ext cx="1088696" cy="436786"/>
    <xdr:sp macro="" textlink="">
      <xdr:nvSpPr>
        <xdr:cNvPr id="22" name="TextovéPole 21">
          <a:extLst>
            <a:ext uri="{FF2B5EF4-FFF2-40B4-BE49-F238E27FC236}">
              <a16:creationId xmlns:a16="http://schemas.microsoft.com/office/drawing/2014/main" id="{9473795A-B3AE-440B-BCBA-A1C5AE44FC58}"/>
            </a:ext>
          </a:extLst>
        </xdr:cNvPr>
        <xdr:cNvSpPr txBox="1"/>
      </xdr:nvSpPr>
      <xdr:spPr>
        <a:xfrm>
          <a:off x="11533188" y="6183314"/>
          <a:ext cx="108869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cs-CZ" sz="1100" baseline="0"/>
            <a:t>Vložný útlum</a:t>
          </a:r>
        </a:p>
        <a:p>
          <a:r>
            <a:rPr lang="cs-CZ" sz="1100" baseline="0"/>
            <a:t>hluku tlumičem</a:t>
          </a:r>
          <a:endParaRPr lang="cs-CZ" sz="1100"/>
        </a:p>
      </xdr:txBody>
    </xdr:sp>
    <xdr:clientData/>
  </xdr:oneCellAnchor>
  <xdr:oneCellAnchor>
    <xdr:from>
      <xdr:col>22</xdr:col>
      <xdr:colOff>182563</xdr:colOff>
      <xdr:row>37</xdr:row>
      <xdr:rowOff>87312</xdr:rowOff>
    </xdr:from>
    <xdr:ext cx="1260986" cy="436786"/>
    <xdr:sp macro="" textlink="">
      <xdr:nvSpPr>
        <xdr:cNvPr id="23" name="TextovéPole 22">
          <a:extLst>
            <a:ext uri="{FF2B5EF4-FFF2-40B4-BE49-F238E27FC236}">
              <a16:creationId xmlns:a16="http://schemas.microsoft.com/office/drawing/2014/main" id="{BF32AC55-23C1-47C0-A9D7-AE9CAA128482}"/>
            </a:ext>
          </a:extLst>
        </xdr:cNvPr>
        <xdr:cNvSpPr txBox="1"/>
      </xdr:nvSpPr>
      <xdr:spPr>
        <a:xfrm>
          <a:off x="11533188" y="7429500"/>
          <a:ext cx="126098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cs-CZ" sz="1100" baseline="0"/>
            <a:t>Celkový dosažený</a:t>
          </a:r>
        </a:p>
        <a:p>
          <a:r>
            <a:rPr lang="cs-CZ" sz="1100" baseline="0"/>
            <a:t>útlum hluku</a:t>
          </a:r>
          <a:endParaRPr lang="cs-CZ" sz="1100"/>
        </a:p>
      </xdr:txBody>
    </xdr:sp>
    <xdr:clientData/>
  </xdr:oneCellAnchor>
  <xdr:oneCellAnchor>
    <xdr:from>
      <xdr:col>22</xdr:col>
      <xdr:colOff>182563</xdr:colOff>
      <xdr:row>34</xdr:row>
      <xdr:rowOff>71438</xdr:rowOff>
    </xdr:from>
    <xdr:ext cx="901657" cy="436786"/>
    <xdr:sp macro="" textlink="">
      <xdr:nvSpPr>
        <xdr:cNvPr id="26" name="TextovéPole 25">
          <a:extLst>
            <a:ext uri="{FF2B5EF4-FFF2-40B4-BE49-F238E27FC236}">
              <a16:creationId xmlns:a16="http://schemas.microsoft.com/office/drawing/2014/main" id="{2F3FDE95-E43B-408D-AD37-9315733C3BEF}"/>
            </a:ext>
          </a:extLst>
        </xdr:cNvPr>
        <xdr:cNvSpPr txBox="1"/>
      </xdr:nvSpPr>
      <xdr:spPr>
        <a:xfrm>
          <a:off x="11533188" y="6818313"/>
          <a:ext cx="901657"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cs-CZ" sz="1100" baseline="0"/>
            <a:t>Útlum hluku</a:t>
          </a:r>
        </a:p>
        <a:p>
          <a:r>
            <a:rPr lang="cs-CZ" sz="1100" baseline="0"/>
            <a:t>v potrubí</a:t>
          </a:r>
          <a:endParaRPr lang="cs-CZ" sz="1100"/>
        </a:p>
      </xdr:txBody>
    </xdr:sp>
    <xdr:clientData/>
  </xdr:one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F3D"/>
  </sheetPr>
  <dimension ref="A1:M62"/>
  <sheetViews>
    <sheetView showGridLines="0" tabSelected="1" zoomScale="120" zoomScaleNormal="120" workbookViewId="0">
      <selection activeCell="A9" sqref="A9:L13"/>
    </sheetView>
  </sheetViews>
  <sheetFormatPr baseColWidth="10" defaultColWidth="8.83203125" defaultRowHeight="16"/>
  <cols>
    <col min="1" max="13" width="7.6640625" style="8" customWidth="1"/>
    <col min="14" max="16384" width="8.83203125" style="8"/>
  </cols>
  <sheetData>
    <row r="1" spans="1:13" ht="15.75" customHeight="1"/>
    <row r="2" spans="1:13" ht="15.75" customHeight="1"/>
    <row r="3" spans="1:13" ht="15.75" customHeight="1"/>
    <row r="4" spans="1:13" ht="15.75" customHeight="1">
      <c r="J4" s="10"/>
      <c r="K4" s="10"/>
      <c r="L4" s="11"/>
      <c r="M4" s="11"/>
    </row>
    <row r="5" spans="1:13" ht="15.75" customHeight="1">
      <c r="A5" s="64" t="s">
        <v>121</v>
      </c>
      <c r="B5" s="64"/>
      <c r="C5" s="64"/>
      <c r="D5" s="64"/>
      <c r="E5" s="64"/>
      <c r="F5" s="64"/>
      <c r="G5" s="64"/>
      <c r="H5" s="64"/>
      <c r="I5" s="64"/>
      <c r="J5" s="64"/>
      <c r="K5" s="65" t="s">
        <v>158</v>
      </c>
      <c r="L5" s="65"/>
      <c r="M5" s="55"/>
    </row>
    <row r="6" spans="1:13" ht="15.75" customHeight="1">
      <c r="A6" s="64"/>
      <c r="B6" s="64"/>
      <c r="C6" s="64"/>
      <c r="D6" s="64"/>
      <c r="E6" s="64"/>
      <c r="F6" s="64"/>
      <c r="G6" s="64"/>
      <c r="H6" s="64"/>
      <c r="I6" s="64"/>
      <c r="J6" s="64"/>
      <c r="K6" s="66">
        <v>44348</v>
      </c>
      <c r="L6" s="66"/>
      <c r="M6" s="55"/>
    </row>
    <row r="7" spans="1:13" ht="15.75" customHeight="1">
      <c r="A7" s="56"/>
      <c r="B7" s="56"/>
      <c r="C7" s="56"/>
      <c r="D7" s="56"/>
      <c r="E7" s="56"/>
      <c r="F7" s="56"/>
      <c r="G7" s="56"/>
      <c r="H7" s="56"/>
      <c r="I7" s="56"/>
      <c r="J7" s="56"/>
      <c r="K7" s="56"/>
      <c r="L7" s="56"/>
      <c r="M7" s="13"/>
    </row>
    <row r="8" spans="1:13" ht="15.75" customHeight="1">
      <c r="A8" s="60" t="s">
        <v>145</v>
      </c>
      <c r="B8" s="60"/>
      <c r="C8" s="60"/>
      <c r="D8" s="60"/>
      <c r="E8" s="60"/>
      <c r="F8" s="60"/>
      <c r="G8" s="60"/>
      <c r="H8" s="60"/>
      <c r="I8" s="60"/>
      <c r="J8" s="60"/>
      <c r="K8" s="60"/>
      <c r="L8" s="60"/>
      <c r="M8" s="13"/>
    </row>
    <row r="9" spans="1:13" ht="15.75" customHeight="1">
      <c r="A9" s="61" t="s">
        <v>159</v>
      </c>
      <c r="B9" s="61"/>
      <c r="C9" s="61"/>
      <c r="D9" s="61"/>
      <c r="E9" s="61"/>
      <c r="F9" s="61"/>
      <c r="G9" s="61"/>
      <c r="H9" s="61"/>
      <c r="I9" s="61"/>
      <c r="J9" s="61"/>
      <c r="K9" s="61"/>
      <c r="L9" s="61"/>
    </row>
    <row r="10" spans="1:13" ht="15.75" customHeight="1">
      <c r="A10" s="61"/>
      <c r="B10" s="61"/>
      <c r="C10" s="61"/>
      <c r="D10" s="61"/>
      <c r="E10" s="61"/>
      <c r="F10" s="61"/>
      <c r="G10" s="61"/>
      <c r="H10" s="61"/>
      <c r="I10" s="61"/>
      <c r="J10" s="61"/>
      <c r="K10" s="61"/>
      <c r="L10" s="61"/>
    </row>
    <row r="11" spans="1:13" ht="15.75" customHeight="1">
      <c r="A11" s="61"/>
      <c r="B11" s="61"/>
      <c r="C11" s="61"/>
      <c r="D11" s="61"/>
      <c r="E11" s="61"/>
      <c r="F11" s="61"/>
      <c r="G11" s="61"/>
      <c r="H11" s="61"/>
      <c r="I11" s="61"/>
      <c r="J11" s="61"/>
      <c r="K11" s="61"/>
      <c r="L11" s="61"/>
    </row>
    <row r="12" spans="1:13" ht="15.75" customHeight="1">
      <c r="A12" s="61"/>
      <c r="B12" s="61"/>
      <c r="C12" s="61"/>
      <c r="D12" s="61"/>
      <c r="E12" s="61"/>
      <c r="F12" s="61"/>
      <c r="G12" s="61"/>
      <c r="H12" s="61"/>
      <c r="I12" s="61"/>
      <c r="J12" s="61"/>
      <c r="K12" s="61"/>
      <c r="L12" s="61"/>
    </row>
    <row r="13" spans="1:13" ht="15.75" customHeight="1">
      <c r="A13" s="61"/>
      <c r="B13" s="61"/>
      <c r="C13" s="61"/>
      <c r="D13" s="61"/>
      <c r="E13" s="61"/>
      <c r="F13" s="61"/>
      <c r="G13" s="61"/>
      <c r="H13" s="61"/>
      <c r="I13" s="61"/>
      <c r="J13" s="61"/>
      <c r="K13" s="61"/>
      <c r="L13" s="61"/>
    </row>
    <row r="14" spans="1:13" ht="15.75" customHeight="1">
      <c r="A14" s="57"/>
      <c r="B14" s="57"/>
      <c r="C14" s="57"/>
      <c r="D14" s="57"/>
      <c r="E14" s="57"/>
      <c r="F14" s="57"/>
      <c r="G14" s="57"/>
      <c r="H14" s="57"/>
      <c r="I14" s="57"/>
      <c r="J14" s="57"/>
      <c r="K14" s="57"/>
      <c r="L14" s="57"/>
    </row>
    <row r="15" spans="1:13" ht="15.75" customHeight="1">
      <c r="A15" s="63" t="s">
        <v>149</v>
      </c>
      <c r="B15" s="63"/>
      <c r="C15" s="63"/>
      <c r="D15" s="63"/>
      <c r="E15" s="63"/>
      <c r="F15" s="63"/>
      <c r="G15" s="63"/>
      <c r="H15" s="63"/>
      <c r="I15" s="63"/>
      <c r="J15" s="63"/>
      <c r="K15" s="63"/>
      <c r="L15" s="63"/>
    </row>
    <row r="16" spans="1:13" ht="15.75" customHeight="1">
      <c r="A16" s="61" t="s">
        <v>156</v>
      </c>
      <c r="B16" s="61"/>
      <c r="C16" s="61"/>
      <c r="D16" s="61"/>
      <c r="E16" s="61"/>
      <c r="F16" s="61"/>
      <c r="G16" s="61"/>
      <c r="H16" s="61"/>
      <c r="I16" s="61"/>
      <c r="J16" s="61"/>
      <c r="K16" s="61"/>
      <c r="L16" s="61"/>
    </row>
    <row r="17" spans="1:12" ht="15.75" customHeight="1">
      <c r="A17" s="61"/>
      <c r="B17" s="61"/>
      <c r="C17" s="61"/>
      <c r="D17" s="61"/>
      <c r="E17" s="61"/>
      <c r="F17" s="61"/>
      <c r="G17" s="61"/>
      <c r="H17" s="61"/>
      <c r="I17" s="61"/>
      <c r="J17" s="61"/>
      <c r="K17" s="61"/>
      <c r="L17" s="61"/>
    </row>
    <row r="18" spans="1:12" ht="15.75" customHeight="1">
      <c r="A18" s="61"/>
      <c r="B18" s="61"/>
      <c r="C18" s="61"/>
      <c r="D18" s="61"/>
      <c r="E18" s="61"/>
      <c r="F18" s="61"/>
      <c r="G18" s="61"/>
      <c r="H18" s="61"/>
      <c r="I18" s="61"/>
      <c r="J18" s="61"/>
      <c r="K18" s="61"/>
      <c r="L18" s="61"/>
    </row>
    <row r="19" spans="1:12" ht="15.75" customHeight="1">
      <c r="A19" s="61"/>
      <c r="B19" s="61"/>
      <c r="C19" s="61"/>
      <c r="D19" s="61"/>
      <c r="E19" s="61"/>
      <c r="F19" s="61"/>
      <c r="G19" s="61"/>
      <c r="H19" s="61"/>
      <c r="I19" s="61"/>
      <c r="J19" s="61"/>
      <c r="K19" s="61"/>
      <c r="L19" s="61"/>
    </row>
    <row r="20" spans="1:12" ht="15.75" customHeight="1">
      <c r="A20" s="61"/>
      <c r="B20" s="61"/>
      <c r="C20" s="61"/>
      <c r="D20" s="61"/>
      <c r="E20" s="61"/>
      <c r="F20" s="61"/>
      <c r="G20" s="61"/>
      <c r="H20" s="61"/>
      <c r="I20" s="61"/>
      <c r="J20" s="61"/>
      <c r="K20" s="61"/>
      <c r="L20" s="61"/>
    </row>
    <row r="21" spans="1:12" ht="15.75" customHeight="1">
      <c r="A21" s="61"/>
      <c r="B21" s="61"/>
      <c r="C21" s="61"/>
      <c r="D21" s="61"/>
      <c r="E21" s="61"/>
      <c r="F21" s="61"/>
      <c r="G21" s="61"/>
      <c r="H21" s="61"/>
      <c r="I21" s="61"/>
      <c r="J21" s="61"/>
      <c r="K21" s="61"/>
      <c r="L21" s="61"/>
    </row>
    <row r="22" spans="1:12" ht="15.75" customHeight="1">
      <c r="A22" s="61"/>
      <c r="B22" s="61"/>
      <c r="C22" s="61"/>
      <c r="D22" s="61"/>
      <c r="E22" s="61"/>
      <c r="F22" s="61"/>
      <c r="G22" s="61"/>
      <c r="H22" s="61"/>
      <c r="I22" s="61"/>
      <c r="J22" s="61"/>
      <c r="K22" s="61"/>
      <c r="L22" s="61"/>
    </row>
    <row r="23" spans="1:12" ht="15.75" customHeight="1">
      <c r="A23" s="61"/>
      <c r="B23" s="61"/>
      <c r="C23" s="61"/>
      <c r="D23" s="61"/>
      <c r="E23" s="61"/>
      <c r="F23" s="61"/>
      <c r="G23" s="61"/>
      <c r="H23" s="61"/>
      <c r="I23" s="61"/>
      <c r="J23" s="61"/>
      <c r="K23" s="61"/>
      <c r="L23" s="61"/>
    </row>
    <row r="24" spans="1:12" ht="15.75" customHeight="1">
      <c r="A24" s="61"/>
      <c r="B24" s="61"/>
      <c r="C24" s="61"/>
      <c r="D24" s="61"/>
      <c r="E24" s="61"/>
      <c r="F24" s="61"/>
      <c r="G24" s="61"/>
      <c r="H24" s="61"/>
      <c r="I24" s="61"/>
      <c r="J24" s="61"/>
      <c r="K24" s="61"/>
      <c r="L24" s="61"/>
    </row>
    <row r="25" spans="1:12" ht="15.75" customHeight="1">
      <c r="A25" s="61"/>
      <c r="B25" s="61"/>
      <c r="C25" s="61"/>
      <c r="D25" s="61"/>
      <c r="E25" s="61"/>
      <c r="F25" s="61"/>
      <c r="G25" s="61"/>
      <c r="H25" s="61"/>
      <c r="I25" s="61"/>
      <c r="J25" s="61"/>
      <c r="K25" s="61"/>
      <c r="L25" s="61"/>
    </row>
    <row r="26" spans="1:12" ht="15.75" customHeight="1">
      <c r="A26" s="61"/>
      <c r="B26" s="61"/>
      <c r="C26" s="61"/>
      <c r="D26" s="61"/>
      <c r="E26" s="61"/>
      <c r="F26" s="61"/>
      <c r="G26" s="61"/>
      <c r="H26" s="61"/>
      <c r="I26" s="61"/>
      <c r="J26" s="61"/>
      <c r="K26" s="61"/>
      <c r="L26" s="61"/>
    </row>
    <row r="27" spans="1:12" ht="15.75" customHeight="1">
      <c r="A27" s="61"/>
      <c r="B27" s="61"/>
      <c r="C27" s="61"/>
      <c r="D27" s="61"/>
      <c r="E27" s="61"/>
      <c r="F27" s="61"/>
      <c r="G27" s="61"/>
      <c r="H27" s="61"/>
      <c r="I27" s="61"/>
      <c r="J27" s="61"/>
      <c r="K27" s="61"/>
      <c r="L27" s="61"/>
    </row>
    <row r="28" spans="1:12" ht="15.75" customHeight="1">
      <c r="A28" s="61"/>
      <c r="B28" s="61"/>
      <c r="C28" s="61"/>
      <c r="D28" s="61"/>
      <c r="E28" s="61"/>
      <c r="F28" s="61"/>
      <c r="G28" s="61"/>
      <c r="H28" s="61"/>
      <c r="I28" s="61"/>
      <c r="J28" s="61"/>
      <c r="K28" s="61"/>
      <c r="L28" s="61"/>
    </row>
    <row r="29" spans="1:12" ht="15.75" customHeight="1">
      <c r="A29" s="61"/>
      <c r="B29" s="61"/>
      <c r="C29" s="61"/>
      <c r="D29" s="61"/>
      <c r="E29" s="61"/>
      <c r="F29" s="61"/>
      <c r="G29" s="61"/>
      <c r="H29" s="61"/>
      <c r="I29" s="61"/>
      <c r="J29" s="61"/>
      <c r="K29" s="61"/>
      <c r="L29" s="61"/>
    </row>
    <row r="30" spans="1:12" ht="15.75" customHeight="1">
      <c r="A30" s="61"/>
      <c r="B30" s="61"/>
      <c r="C30" s="61"/>
      <c r="D30" s="61"/>
      <c r="E30" s="61"/>
      <c r="F30" s="61"/>
      <c r="G30" s="61"/>
      <c r="H30" s="61"/>
      <c r="I30" s="61"/>
      <c r="J30" s="61"/>
      <c r="K30" s="61"/>
      <c r="L30" s="61"/>
    </row>
    <row r="31" spans="1:12" ht="15.75" customHeight="1">
      <c r="A31" s="61"/>
      <c r="B31" s="61"/>
      <c r="C31" s="61"/>
      <c r="D31" s="61"/>
      <c r="E31" s="61"/>
      <c r="F31" s="61"/>
      <c r="G31" s="61"/>
      <c r="H31" s="61"/>
      <c r="I31" s="61"/>
      <c r="J31" s="61"/>
      <c r="K31" s="61"/>
      <c r="L31" s="61"/>
    </row>
    <row r="32" spans="1:12" ht="15.75" customHeight="1">
      <c r="A32" s="61"/>
      <c r="B32" s="61"/>
      <c r="C32" s="61"/>
      <c r="D32" s="61"/>
      <c r="E32" s="61"/>
      <c r="F32" s="61"/>
      <c r="G32" s="61"/>
      <c r="H32" s="61"/>
      <c r="I32" s="61"/>
      <c r="J32" s="61"/>
      <c r="K32" s="61"/>
      <c r="L32" s="61"/>
    </row>
    <row r="33" spans="1:12" ht="15.75" customHeight="1">
      <c r="A33" s="61"/>
      <c r="B33" s="61"/>
      <c r="C33" s="61"/>
      <c r="D33" s="61"/>
      <c r="E33" s="61"/>
      <c r="F33" s="61"/>
      <c r="G33" s="61"/>
      <c r="H33" s="61"/>
      <c r="I33" s="61"/>
      <c r="J33" s="61"/>
      <c r="K33" s="61"/>
      <c r="L33" s="61"/>
    </row>
    <row r="34" spans="1:12" ht="15.75" customHeight="1">
      <c r="A34" s="61"/>
      <c r="B34" s="61"/>
      <c r="C34" s="61"/>
      <c r="D34" s="61"/>
      <c r="E34" s="61"/>
      <c r="F34" s="61"/>
      <c r="G34" s="61"/>
      <c r="H34" s="61"/>
      <c r="I34" s="61"/>
      <c r="J34" s="61"/>
      <c r="K34" s="61"/>
      <c r="L34" s="61"/>
    </row>
    <row r="35" spans="1:12" ht="15.75" customHeight="1">
      <c r="A35" s="61"/>
      <c r="B35" s="61"/>
      <c r="C35" s="61"/>
      <c r="D35" s="61"/>
      <c r="E35" s="61"/>
      <c r="F35" s="61"/>
      <c r="G35" s="61"/>
      <c r="H35" s="61"/>
      <c r="I35" s="61"/>
      <c r="J35" s="61"/>
      <c r="K35" s="61"/>
      <c r="L35" s="61"/>
    </row>
    <row r="36" spans="1:12" ht="15.75" customHeight="1">
      <c r="A36" s="61"/>
      <c r="B36" s="61"/>
      <c r="C36" s="61"/>
      <c r="D36" s="61"/>
      <c r="E36" s="61"/>
      <c r="F36" s="61"/>
      <c r="G36" s="61"/>
      <c r="H36" s="61"/>
      <c r="I36" s="61"/>
      <c r="J36" s="61"/>
      <c r="K36" s="61"/>
      <c r="L36" s="61"/>
    </row>
    <row r="37" spans="1:12" ht="15.75" customHeight="1">
      <c r="A37" s="57"/>
      <c r="B37" s="57"/>
      <c r="C37" s="57"/>
      <c r="D37" s="57"/>
      <c r="E37" s="57"/>
      <c r="F37" s="57"/>
      <c r="G37" s="57"/>
      <c r="H37" s="57"/>
      <c r="I37" s="57"/>
      <c r="J37" s="57"/>
      <c r="K37" s="57"/>
      <c r="L37" s="57"/>
    </row>
    <row r="38" spans="1:12" ht="15.75" customHeight="1">
      <c r="A38" s="63" t="s">
        <v>148</v>
      </c>
      <c r="B38" s="63"/>
      <c r="C38" s="63"/>
      <c r="D38" s="63"/>
      <c r="E38" s="63"/>
      <c r="F38" s="63"/>
      <c r="G38" s="63"/>
      <c r="H38" s="63"/>
      <c r="I38" s="63"/>
      <c r="J38" s="63"/>
      <c r="K38" s="63"/>
      <c r="L38" s="63"/>
    </row>
    <row r="39" spans="1:12" ht="15.75" customHeight="1">
      <c r="A39" s="62" t="s">
        <v>147</v>
      </c>
      <c r="B39" s="62"/>
      <c r="C39" s="62"/>
      <c r="D39" s="62"/>
      <c r="E39" s="62"/>
      <c r="F39" s="62"/>
      <c r="G39" s="62"/>
      <c r="H39" s="62"/>
      <c r="I39" s="62"/>
      <c r="J39" s="62"/>
      <c r="K39" s="62"/>
      <c r="L39" s="62"/>
    </row>
    <row r="40" spans="1:12" ht="15.75" customHeight="1">
      <c r="A40" s="62"/>
      <c r="B40" s="62"/>
      <c r="C40" s="62"/>
      <c r="D40" s="62"/>
      <c r="E40" s="62"/>
      <c r="F40" s="62"/>
      <c r="G40" s="62"/>
      <c r="H40" s="62"/>
      <c r="I40" s="62"/>
      <c r="J40" s="62"/>
      <c r="K40" s="62"/>
      <c r="L40" s="62"/>
    </row>
    <row r="41" spans="1:12" ht="15.75" customHeight="1">
      <c r="A41" s="62"/>
      <c r="B41" s="62"/>
      <c r="C41" s="62"/>
      <c r="D41" s="62"/>
      <c r="E41" s="62"/>
      <c r="F41" s="62"/>
      <c r="G41" s="62"/>
      <c r="H41" s="62"/>
      <c r="I41" s="62"/>
      <c r="J41" s="62"/>
      <c r="K41" s="62"/>
      <c r="L41" s="62"/>
    </row>
    <row r="42" spans="1:12" ht="15.75" customHeight="1"/>
    <row r="43" spans="1:12" ht="15.75" customHeight="1">
      <c r="A43" s="67" t="s">
        <v>146</v>
      </c>
      <c r="B43" s="67"/>
      <c r="C43" s="67"/>
      <c r="D43" s="67"/>
      <c r="E43" s="67"/>
      <c r="F43" s="67"/>
      <c r="G43" s="67"/>
      <c r="H43" s="67"/>
      <c r="I43" s="67"/>
      <c r="J43" s="67"/>
      <c r="K43" s="67"/>
      <c r="L43" s="67"/>
    </row>
    <row r="44" spans="1:12" ht="15.75" customHeight="1">
      <c r="A44" s="58" t="s">
        <v>157</v>
      </c>
      <c r="B44" s="59"/>
      <c r="C44" s="59"/>
      <c r="D44" s="59"/>
      <c r="E44" s="59"/>
      <c r="F44" s="59"/>
      <c r="G44" s="59"/>
      <c r="H44" s="59"/>
      <c r="I44" s="59"/>
      <c r="J44" s="59"/>
      <c r="K44" s="59"/>
      <c r="L44" s="59"/>
    </row>
    <row r="45" spans="1:12" ht="15.75" customHeight="1">
      <c r="A45" s="59"/>
      <c r="B45" s="59"/>
      <c r="C45" s="59"/>
      <c r="D45" s="59"/>
      <c r="E45" s="59"/>
      <c r="F45" s="59"/>
      <c r="G45" s="59"/>
      <c r="H45" s="59"/>
      <c r="I45" s="59"/>
      <c r="J45" s="59"/>
      <c r="K45" s="59"/>
      <c r="L45" s="59"/>
    </row>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sheetData>
  <sheetProtection algorithmName="SHA-512" hashValue="IW1qSKO44Fh73wggYvjXLh6q0oDnBzzxFvvf72KXWeiAiAeCgDpF6Nlj/lNRCptT5LPU+HVdQZB4chzYaFbyUQ==" saltValue="MPfPb31xh5gq94gaF3X4Jw==" spinCount="100000" sheet="1" objects="1" scenarios="1"/>
  <mergeCells count="11">
    <mergeCell ref="A5:J6"/>
    <mergeCell ref="K5:L5"/>
    <mergeCell ref="K6:L6"/>
    <mergeCell ref="A43:L43"/>
    <mergeCell ref="A44:L45"/>
    <mergeCell ref="A8:L8"/>
    <mergeCell ref="A16:L36"/>
    <mergeCell ref="A39:L41"/>
    <mergeCell ref="A38:L38"/>
    <mergeCell ref="A15:L15"/>
    <mergeCell ref="A9:L13"/>
  </mergeCells>
  <conditionalFormatting sqref="A7">
    <cfRule type="cellIs" dxfId="18" priority="16" operator="notEqual">
      <formula>"Zadejte název projektu"</formula>
    </cfRule>
  </conditionalFormatting>
  <conditionalFormatting sqref="A8">
    <cfRule type="cellIs" dxfId="17" priority="1" operator="notEqual">
      <formula>"Zadejte název tlumiče"</formula>
    </cfRule>
  </conditionalFormatting>
  <printOptions horizontalCentered="1"/>
  <pageMargins left="0.59055118110236227" right="0.39370078740157483" top="0.78740157480314965" bottom="0.78740157480314965" header="0.51181102362204722" footer="0.51181102362204722"/>
  <pageSetup paperSize="9" pageOrder="overThenDown" orientation="portrait" verticalDpi="98" r:id="rId1"/>
  <headerFooter>
    <oddFooter xml:space="preserve">&amp;LQ199-01, revize 1.0 © Greif-akustika, s.r.o.&amp;R&amp;D | List &amp;P/&amp;N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C00000"/>
  </sheetPr>
  <dimension ref="A1:AV124"/>
  <sheetViews>
    <sheetView showGridLines="0" zoomScale="120" zoomScaleNormal="120" workbookViewId="0">
      <selection activeCell="B12" sqref="B12:C12"/>
    </sheetView>
  </sheetViews>
  <sheetFormatPr baseColWidth="10" defaultColWidth="8.83203125" defaultRowHeight="16"/>
  <cols>
    <col min="1" max="26" width="7.6640625" style="8" customWidth="1"/>
    <col min="27" max="30" width="7.6640625" style="8" hidden="1" customWidth="1"/>
    <col min="31" max="48" width="8.83203125" style="8" hidden="1" customWidth="1"/>
    <col min="49" max="16384" width="8.83203125" style="8"/>
  </cols>
  <sheetData>
    <row r="1" spans="1:39" ht="15.75" customHeight="1">
      <c r="N1" s="67" t="s">
        <v>104</v>
      </c>
      <c r="O1" s="67"/>
      <c r="P1" s="67"/>
      <c r="Q1" s="67"/>
      <c r="R1" s="67"/>
      <c r="S1" s="67"/>
      <c r="T1" s="67"/>
      <c r="U1" s="67"/>
      <c r="V1" s="67"/>
      <c r="W1" s="67"/>
      <c r="X1" s="67"/>
      <c r="Y1" s="67"/>
      <c r="AA1" s="64" t="s">
        <v>76</v>
      </c>
      <c r="AB1" s="64"/>
      <c r="AC1" s="64"/>
      <c r="AD1" s="64"/>
      <c r="AE1" s="64"/>
      <c r="AF1" s="64"/>
      <c r="AG1" s="64"/>
      <c r="AH1" s="64"/>
      <c r="AI1" s="64"/>
      <c r="AJ1" s="64"/>
      <c r="AK1" s="64"/>
      <c r="AL1" s="64"/>
      <c r="AM1" s="64"/>
    </row>
    <row r="2" spans="1:39" ht="15.75" customHeight="1">
      <c r="N2" s="9"/>
      <c r="O2" s="9"/>
      <c r="P2" s="9"/>
      <c r="Q2" s="9"/>
      <c r="R2" s="9"/>
      <c r="S2" s="9"/>
      <c r="T2" s="9"/>
      <c r="U2" s="9"/>
      <c r="V2" s="9"/>
      <c r="W2" s="9"/>
      <c r="X2" s="9"/>
      <c r="Y2" s="9"/>
      <c r="AA2" s="64"/>
      <c r="AB2" s="64"/>
      <c r="AC2" s="64"/>
      <c r="AD2" s="64"/>
      <c r="AE2" s="64"/>
      <c r="AF2" s="64"/>
      <c r="AG2" s="64"/>
      <c r="AH2" s="64"/>
      <c r="AI2" s="64"/>
      <c r="AJ2" s="64"/>
      <c r="AK2" s="64"/>
      <c r="AL2" s="64"/>
      <c r="AM2" s="64"/>
    </row>
    <row r="3" spans="1:39" ht="15.75" customHeight="1">
      <c r="N3" s="9"/>
      <c r="O3" s="9"/>
      <c r="P3" s="9"/>
      <c r="Q3" s="9"/>
      <c r="R3" s="9"/>
      <c r="S3" s="9"/>
      <c r="T3" s="9"/>
      <c r="U3" s="9"/>
      <c r="V3" s="9"/>
      <c r="W3" s="9"/>
      <c r="X3" s="9"/>
      <c r="Y3" s="9"/>
    </row>
    <row r="4" spans="1:39" ht="15.75" customHeight="1">
      <c r="J4" s="10"/>
      <c r="K4" s="10"/>
      <c r="L4" s="11" t="s">
        <v>51</v>
      </c>
      <c r="M4" s="11"/>
      <c r="N4" s="9"/>
      <c r="O4" s="9"/>
      <c r="P4" s="9"/>
      <c r="Q4" s="9"/>
      <c r="R4" s="9"/>
      <c r="S4" s="9"/>
      <c r="T4" s="9"/>
      <c r="U4" s="9"/>
      <c r="V4" s="9"/>
      <c r="W4" s="9"/>
      <c r="X4" s="9"/>
      <c r="Y4" s="9"/>
      <c r="AA4" s="68" t="s">
        <v>80</v>
      </c>
      <c r="AB4" s="68"/>
      <c r="AC4" s="68"/>
      <c r="AE4" s="68" t="s">
        <v>107</v>
      </c>
      <c r="AF4" s="68"/>
      <c r="AG4" s="68"/>
    </row>
    <row r="5" spans="1:39" ht="15.75" customHeight="1">
      <c r="A5" s="64" t="s">
        <v>121</v>
      </c>
      <c r="B5" s="64"/>
      <c r="C5" s="64"/>
      <c r="D5" s="64"/>
      <c r="E5" s="64"/>
      <c r="F5" s="64"/>
      <c r="G5" s="64"/>
      <c r="H5" s="64"/>
      <c r="I5" s="64"/>
      <c r="J5" s="64"/>
      <c r="K5" s="64"/>
      <c r="L5" s="64"/>
      <c r="M5" s="12"/>
      <c r="N5" s="9"/>
      <c r="O5" s="9"/>
      <c r="P5" s="9"/>
      <c r="Q5" s="9"/>
      <c r="R5" s="9"/>
      <c r="S5" s="9"/>
      <c r="T5" s="9"/>
      <c r="U5" s="9"/>
      <c r="V5" s="9"/>
      <c r="W5" s="9"/>
      <c r="X5" s="9"/>
      <c r="Y5" s="9"/>
      <c r="AA5" s="44" t="s">
        <v>77</v>
      </c>
      <c r="AB5" s="44" t="s">
        <v>78</v>
      </c>
      <c r="AC5" s="44" t="s">
        <v>79</v>
      </c>
      <c r="AE5" s="44" t="s">
        <v>77</v>
      </c>
      <c r="AF5" s="44" t="s">
        <v>78</v>
      </c>
      <c r="AG5" s="44" t="s">
        <v>79</v>
      </c>
    </row>
    <row r="6" spans="1:39" ht="15.75" customHeight="1">
      <c r="A6" s="64"/>
      <c r="B6" s="64"/>
      <c r="C6" s="64"/>
      <c r="D6" s="64"/>
      <c r="E6" s="64"/>
      <c r="F6" s="64"/>
      <c r="G6" s="64"/>
      <c r="H6" s="64"/>
      <c r="I6" s="64"/>
      <c r="J6" s="64"/>
      <c r="K6" s="64"/>
      <c r="L6" s="64"/>
      <c r="M6" s="12"/>
      <c r="N6" s="9"/>
      <c r="O6" s="9"/>
      <c r="P6" s="9"/>
      <c r="Q6" s="9"/>
      <c r="R6" s="9"/>
      <c r="S6" s="9"/>
      <c r="T6" s="9"/>
      <c r="U6" s="9"/>
      <c r="V6" s="9"/>
      <c r="W6" s="9"/>
      <c r="X6" s="9"/>
      <c r="Y6" s="9"/>
      <c r="AA6" s="3" t="s">
        <v>16</v>
      </c>
      <c r="AB6" s="3">
        <v>200</v>
      </c>
      <c r="AC6" s="3">
        <v>60</v>
      </c>
      <c r="AE6" s="34" t="str">
        <f>CONCATENATE("=",B16)</f>
        <v>=G</v>
      </c>
      <c r="AF6" s="34">
        <f>B17</f>
        <v>200</v>
      </c>
      <c r="AG6" s="35">
        <f>IF(ISERR(DGET(AA5:AC18,"Stěna",AE5:AF6)),"",DGET(AA5:AC18,"Stěna",AE5:AF6))</f>
        <v>60</v>
      </c>
    </row>
    <row r="7" spans="1:39" ht="15.75" customHeight="1">
      <c r="A7" s="80" t="s">
        <v>40</v>
      </c>
      <c r="B7" s="80"/>
      <c r="C7" s="80"/>
      <c r="D7" s="80"/>
      <c r="E7" s="80"/>
      <c r="F7" s="80"/>
      <c r="G7" s="80"/>
      <c r="H7" s="80"/>
      <c r="I7" s="80"/>
      <c r="J7" s="80"/>
      <c r="K7" s="80"/>
      <c r="L7" s="80"/>
      <c r="M7" s="13"/>
      <c r="N7" s="9"/>
      <c r="O7" s="9"/>
      <c r="P7" s="9"/>
      <c r="Q7" s="9"/>
      <c r="R7" s="9"/>
      <c r="S7" s="9"/>
      <c r="T7" s="9"/>
      <c r="U7" s="9"/>
      <c r="V7" s="9"/>
      <c r="W7" s="9"/>
      <c r="X7" s="9"/>
      <c r="Y7" s="9"/>
      <c r="AA7" s="3" t="s">
        <v>16</v>
      </c>
      <c r="AB7" s="3">
        <v>250</v>
      </c>
      <c r="AC7" s="3">
        <v>80</v>
      </c>
      <c r="AF7" s="51" t="s">
        <v>152</v>
      </c>
      <c r="AG7" s="51">
        <f>IF(AG6="",0,1)</f>
        <v>1</v>
      </c>
    </row>
    <row r="8" spans="1:39" ht="15.75" customHeight="1">
      <c r="A8" s="80" t="s">
        <v>41</v>
      </c>
      <c r="B8" s="80"/>
      <c r="C8" s="80"/>
      <c r="D8" s="80"/>
      <c r="E8" s="80"/>
      <c r="F8" s="80"/>
      <c r="G8" s="80"/>
      <c r="H8" s="80"/>
      <c r="I8" s="80"/>
      <c r="J8" s="80"/>
      <c r="K8" s="80"/>
      <c r="L8" s="80"/>
      <c r="M8" s="13"/>
      <c r="N8" s="9"/>
      <c r="O8" s="9"/>
      <c r="P8" s="9"/>
      <c r="Q8" s="9"/>
      <c r="R8" s="9"/>
      <c r="S8" s="9"/>
      <c r="T8" s="9"/>
      <c r="U8" s="9"/>
      <c r="V8" s="9"/>
      <c r="W8" s="9"/>
      <c r="X8" s="9"/>
      <c r="Y8" s="9"/>
      <c r="AA8" s="3" t="s">
        <v>16</v>
      </c>
      <c r="AB8" s="3">
        <v>300</v>
      </c>
      <c r="AC8" s="3">
        <v>100</v>
      </c>
    </row>
    <row r="9" spans="1:39" ht="15.75" customHeight="1">
      <c r="A9" s="14"/>
      <c r="B9" s="14"/>
      <c r="C9" s="14"/>
      <c r="D9" s="14"/>
      <c r="E9" s="14"/>
      <c r="F9" s="14"/>
      <c r="G9" s="14"/>
      <c r="H9" s="14"/>
      <c r="I9" s="14"/>
      <c r="AA9" s="3" t="s">
        <v>16</v>
      </c>
      <c r="AB9" s="3">
        <v>400</v>
      </c>
      <c r="AC9" s="3">
        <v>100</v>
      </c>
    </row>
    <row r="10" spans="1:39" ht="15.75" customHeight="1">
      <c r="A10" s="88" t="s">
        <v>23</v>
      </c>
      <c r="B10" s="88"/>
      <c r="C10" s="88"/>
      <c r="D10" s="89" t="str">
        <f>IF(L37=1,"","Zadejte správné hodnoty, nebo vyberte sériově vyráběný element...")</f>
        <v/>
      </c>
      <c r="E10" s="89"/>
      <c r="F10" s="89"/>
      <c r="G10" s="89"/>
      <c r="H10" s="89"/>
      <c r="I10" s="89"/>
      <c r="J10" s="89"/>
      <c r="K10" s="89"/>
      <c r="L10" s="89"/>
      <c r="N10" s="73" t="s">
        <v>114</v>
      </c>
      <c r="O10" s="73"/>
      <c r="P10" s="73"/>
      <c r="Q10" s="73"/>
      <c r="R10" s="87" t="s">
        <v>144</v>
      </c>
      <c r="S10" s="87"/>
      <c r="T10" s="87"/>
      <c r="U10" s="87"/>
      <c r="V10" s="87"/>
      <c r="W10" s="87"/>
      <c r="X10" s="87"/>
      <c r="Y10" s="48" t="s">
        <v>9</v>
      </c>
      <c r="AA10" s="3" t="s">
        <v>16</v>
      </c>
      <c r="AB10" s="3">
        <v>500</v>
      </c>
      <c r="AC10" s="3">
        <v>120</v>
      </c>
    </row>
    <row r="11" spans="1:39" ht="15.75" customHeight="1">
      <c r="A11" s="5" t="s">
        <v>100</v>
      </c>
      <c r="B11" s="1" t="s">
        <v>0</v>
      </c>
      <c r="C11" s="1"/>
      <c r="D11" s="1"/>
      <c r="E11" s="1"/>
      <c r="F11" s="1"/>
      <c r="G11" s="1"/>
      <c r="H11" s="1"/>
      <c r="I11" s="15"/>
      <c r="J11" s="15"/>
      <c r="K11" s="84">
        <f>IF(OR(B27&gt;25,$L$37=0),"",(B30*B23/2*B24^2)*(1+B22))</f>
        <v>77.124346752979065</v>
      </c>
      <c r="L11" s="85"/>
      <c r="N11" s="2" t="s">
        <v>8</v>
      </c>
      <c r="O11" s="3" t="s">
        <v>136</v>
      </c>
      <c r="P11" s="3">
        <v>31.5</v>
      </c>
      <c r="Q11" s="3">
        <v>63</v>
      </c>
      <c r="R11" s="3">
        <v>125</v>
      </c>
      <c r="S11" s="3">
        <v>250</v>
      </c>
      <c r="T11" s="3">
        <v>500</v>
      </c>
      <c r="U11" s="3">
        <v>1000</v>
      </c>
      <c r="V11" s="3">
        <v>2000</v>
      </c>
      <c r="W11" s="3">
        <v>4000</v>
      </c>
      <c r="X11" s="3">
        <v>8000</v>
      </c>
      <c r="Y11" s="2" t="s">
        <v>47</v>
      </c>
      <c r="AA11" s="3" t="s">
        <v>75</v>
      </c>
      <c r="AB11" s="3">
        <v>200</v>
      </c>
      <c r="AC11" s="3">
        <v>50</v>
      </c>
    </row>
    <row r="12" spans="1:39" ht="15.75" customHeight="1">
      <c r="A12" s="4" t="s">
        <v>1</v>
      </c>
      <c r="B12" s="86">
        <v>25000</v>
      </c>
      <c r="C12" s="86"/>
      <c r="D12" s="53" t="s">
        <v>153</v>
      </c>
      <c r="E12" s="75" t="s">
        <v>25</v>
      </c>
      <c r="F12" s="76"/>
      <c r="G12" s="76"/>
      <c r="H12" s="76"/>
      <c r="I12" s="76"/>
      <c r="J12" s="76"/>
      <c r="K12" s="76"/>
      <c r="L12" s="7">
        <f>IF(B12&lt;=0,0,1)</f>
        <v>1</v>
      </c>
      <c r="N12" s="49" t="str">
        <f>IF($Y$10="L","LWZ-Lin",IF($Y$10="A","LWZ-A",""))</f>
        <v>LWZ-Lin</v>
      </c>
      <c r="O12" s="3" t="s">
        <v>132</v>
      </c>
      <c r="P12" s="42">
        <v>75</v>
      </c>
      <c r="Q12" s="42">
        <v>90</v>
      </c>
      <c r="R12" s="42">
        <v>100</v>
      </c>
      <c r="S12" s="42">
        <v>103</v>
      </c>
      <c r="T12" s="42">
        <v>99</v>
      </c>
      <c r="U12" s="42">
        <v>94</v>
      </c>
      <c r="V12" s="42">
        <v>84</v>
      </c>
      <c r="W12" s="42">
        <v>78</v>
      </c>
      <c r="X12" s="42">
        <v>74</v>
      </c>
      <c r="Y12" s="16">
        <f>AL27</f>
        <v>99.888239492271751</v>
      </c>
      <c r="AA12" s="3" t="s">
        <v>75</v>
      </c>
      <c r="AB12" s="3">
        <v>250</v>
      </c>
      <c r="AC12" s="3">
        <v>80</v>
      </c>
    </row>
    <row r="13" spans="1:39" ht="15.75" customHeight="1">
      <c r="A13" s="44" t="s">
        <v>3</v>
      </c>
      <c r="B13" s="90">
        <v>1600</v>
      </c>
      <c r="C13" s="90"/>
      <c r="D13" s="3" t="s">
        <v>126</v>
      </c>
      <c r="E13" s="81" t="s">
        <v>26</v>
      </c>
      <c r="F13" s="82"/>
      <c r="G13" s="82"/>
      <c r="H13" s="82"/>
      <c r="I13" s="82"/>
      <c r="J13" s="82"/>
      <c r="K13" s="43">
        <f>IF($B$17=0,0,IF($B$13/$B$17=1,0,1))</f>
        <v>1</v>
      </c>
      <c r="L13" s="6">
        <f>IF($B$17=0,0,IF($B$13/$B$17=ROUND($B$13/$B$17,0),1,0))</f>
        <v>1</v>
      </c>
      <c r="N13" s="2" t="s">
        <v>49</v>
      </c>
      <c r="O13" s="3" t="s">
        <v>132</v>
      </c>
      <c r="P13" s="52">
        <f t="shared" ref="P13:X13" si="0">C45</f>
        <v>8</v>
      </c>
      <c r="Q13" s="52">
        <f t="shared" si="0"/>
        <v>9</v>
      </c>
      <c r="R13" s="52">
        <f t="shared" si="0"/>
        <v>15</v>
      </c>
      <c r="S13" s="52">
        <f t="shared" si="0"/>
        <v>28</v>
      </c>
      <c r="T13" s="52">
        <f t="shared" si="0"/>
        <v>43</v>
      </c>
      <c r="U13" s="52">
        <f t="shared" si="0"/>
        <v>48</v>
      </c>
      <c r="V13" s="52">
        <f t="shared" si="0"/>
        <v>46</v>
      </c>
      <c r="W13" s="52">
        <f t="shared" si="0"/>
        <v>40</v>
      </c>
      <c r="X13" s="52">
        <f t="shared" si="0"/>
        <v>30</v>
      </c>
      <c r="Y13" s="3" t="s">
        <v>46</v>
      </c>
      <c r="AA13" s="3" t="s">
        <v>75</v>
      </c>
      <c r="AB13" s="3">
        <v>300</v>
      </c>
      <c r="AC13" s="3">
        <v>100</v>
      </c>
    </row>
    <row r="14" spans="1:39" ht="15.75" customHeight="1">
      <c r="A14" s="44" t="s">
        <v>4</v>
      </c>
      <c r="B14" s="90">
        <v>1000</v>
      </c>
      <c r="C14" s="90"/>
      <c r="D14" s="3" t="s">
        <v>126</v>
      </c>
      <c r="E14" s="75" t="s">
        <v>120</v>
      </c>
      <c r="F14" s="76"/>
      <c r="G14" s="76"/>
      <c r="H14" s="76"/>
      <c r="I14" s="76"/>
      <c r="J14" s="76"/>
      <c r="K14" s="76"/>
      <c r="L14" s="6">
        <f>IF(B14&lt;=0,0,1)</f>
        <v>1</v>
      </c>
      <c r="N14" s="49" t="str">
        <f>IF($Y$10="L","LWT-Lin",IF($Y$10="A","LWT-A",""))</f>
        <v>LWT-Lin</v>
      </c>
      <c r="O14" s="3" t="s">
        <v>132</v>
      </c>
      <c r="P14" s="17">
        <f>IF($L$37=0,"",IF($Y$10="L",AC29,IF($Y$10="A",AC30,"")))</f>
        <v>57.451857311846062</v>
      </c>
      <c r="Q14" s="17">
        <f t="shared" ref="Q14:X14" si="1">IF($L$37=0,"",IF($Y$10="L",AD29,IF($Y$10="A",AD30,"")))</f>
        <v>52.315336281242587</v>
      </c>
      <c r="R14" s="17">
        <f t="shared" si="1"/>
        <v>48.635510397770346</v>
      </c>
      <c r="S14" s="17">
        <f t="shared" si="1"/>
        <v>46.361045125666408</v>
      </c>
      <c r="T14" s="17">
        <f t="shared" si="1"/>
        <v>43.988527554492961</v>
      </c>
      <c r="U14" s="17">
        <f t="shared" si="1"/>
        <v>40.080999182803041</v>
      </c>
      <c r="V14" s="17">
        <f t="shared" si="1"/>
        <v>34.835309047962902</v>
      </c>
      <c r="W14" s="17">
        <f t="shared" si="1"/>
        <v>29.034553740603592</v>
      </c>
      <c r="X14" s="17">
        <f t="shared" si="1"/>
        <v>23.070852997649652</v>
      </c>
      <c r="Y14" s="16">
        <f>IF($L$37=0,"",$AL$30)</f>
        <v>45.513952983489347</v>
      </c>
      <c r="AA14" s="3" t="s">
        <v>117</v>
      </c>
      <c r="AB14" s="3">
        <v>200</v>
      </c>
      <c r="AC14" s="3">
        <v>60</v>
      </c>
    </row>
    <row r="15" spans="1:39" ht="15.75" customHeight="1">
      <c r="A15" s="44" t="s">
        <v>9</v>
      </c>
      <c r="B15" s="90">
        <v>2000</v>
      </c>
      <c r="C15" s="90"/>
      <c r="D15" s="3" t="s">
        <v>126</v>
      </c>
      <c r="E15" s="75" t="s">
        <v>119</v>
      </c>
      <c r="F15" s="76"/>
      <c r="G15" s="76"/>
      <c r="H15" s="76"/>
      <c r="I15" s="76"/>
      <c r="J15" s="76"/>
      <c r="K15" s="76"/>
      <c r="L15" s="6">
        <f>IF(OR(B15=1000,B15=1500,B15=2000),1,0)</f>
        <v>1</v>
      </c>
      <c r="N15" s="2" t="s">
        <v>50</v>
      </c>
      <c r="O15" s="3" t="s">
        <v>132</v>
      </c>
      <c r="P15" s="42">
        <v>0</v>
      </c>
      <c r="Q15" s="42">
        <v>0</v>
      </c>
      <c r="R15" s="42">
        <v>0</v>
      </c>
      <c r="S15" s="42">
        <v>0</v>
      </c>
      <c r="T15" s="42">
        <v>0</v>
      </c>
      <c r="U15" s="42">
        <v>0</v>
      </c>
      <c r="V15" s="42">
        <v>0</v>
      </c>
      <c r="W15" s="42">
        <v>0</v>
      </c>
      <c r="X15" s="42">
        <v>0</v>
      </c>
      <c r="Y15" s="3" t="s">
        <v>46</v>
      </c>
      <c r="AA15" s="3" t="s">
        <v>117</v>
      </c>
      <c r="AB15" s="3">
        <v>250</v>
      </c>
      <c r="AC15" s="3">
        <v>80</v>
      </c>
    </row>
    <row r="16" spans="1:39" ht="15.75" customHeight="1">
      <c r="A16" s="44" t="s">
        <v>20</v>
      </c>
      <c r="B16" s="90" t="s">
        <v>16</v>
      </c>
      <c r="C16" s="90"/>
      <c r="D16" s="3" t="s">
        <v>46</v>
      </c>
      <c r="E16" s="75" t="s">
        <v>81</v>
      </c>
      <c r="F16" s="76"/>
      <c r="G16" s="76"/>
      <c r="H16" s="76"/>
      <c r="I16" s="76"/>
      <c r="J16" s="76"/>
      <c r="K16" s="76"/>
      <c r="L16" s="6">
        <f>IF(OR(B16="G",B16="GE",B16="GH"),1,0)</f>
        <v>1</v>
      </c>
      <c r="N16" s="49" t="str">
        <f>IF($Y$10="L","LWC-Lin",IF($Y$10="A","LWC-A",""))</f>
        <v>LWC-Lin</v>
      </c>
      <c r="O16" s="3" t="s">
        <v>132</v>
      </c>
      <c r="P16" s="17">
        <f>IF($L$37=0,"",IF($Y$10="L",AC32,IF($Y$10="A",AC33,"")))</f>
        <v>67.457003484842673</v>
      </c>
      <c r="Q16" s="17">
        <f t="shared" ref="Q16:X16" si="2">IF($L$37=0,"",IF($Y$10="L",AD32,IF($Y$10="A",AD33,"")))</f>
        <v>81.005875220158543</v>
      </c>
      <c r="R16" s="17">
        <f t="shared" si="2"/>
        <v>85.001002963669819</v>
      </c>
      <c r="S16" s="17">
        <f t="shared" si="2"/>
        <v>75.005937340050068</v>
      </c>
      <c r="T16" s="17">
        <f t="shared" si="2"/>
        <v>56.265043700810402</v>
      </c>
      <c r="U16" s="17">
        <f t="shared" si="2"/>
        <v>46.989610984473764</v>
      </c>
      <c r="V16" s="17">
        <f t="shared" si="2"/>
        <v>39.710056337100987</v>
      </c>
      <c r="W16" s="17">
        <f t="shared" si="2"/>
        <v>38.518846753043746</v>
      </c>
      <c r="X16" s="17">
        <f t="shared" si="2"/>
        <v>44.034923860745685</v>
      </c>
      <c r="Y16" s="16">
        <f>IF($L$37=0,"",$AL$33)</f>
        <v>71.048936204407184</v>
      </c>
      <c r="AA16" s="3" t="s">
        <v>117</v>
      </c>
      <c r="AB16" s="3">
        <v>300</v>
      </c>
      <c r="AC16" s="3">
        <v>100</v>
      </c>
    </row>
    <row r="17" spans="1:41" ht="15.75" customHeight="1">
      <c r="A17" s="44" t="s">
        <v>22</v>
      </c>
      <c r="B17" s="90">
        <v>200</v>
      </c>
      <c r="C17" s="90"/>
      <c r="D17" s="3" t="s">
        <v>126</v>
      </c>
      <c r="E17" s="75" t="s">
        <v>36</v>
      </c>
      <c r="F17" s="76"/>
      <c r="G17" s="76" t="s">
        <v>19</v>
      </c>
      <c r="H17" s="76"/>
      <c r="I17" s="76"/>
      <c r="J17" s="76"/>
      <c r="K17" s="76"/>
      <c r="L17" s="7">
        <f>IF(OR(B17=200,B17=250,B17=300,B17=400,B17=500),1,0)</f>
        <v>1</v>
      </c>
      <c r="N17" s="19" t="s">
        <v>97</v>
      </c>
      <c r="O17" s="3" t="s">
        <v>132</v>
      </c>
      <c r="P17" s="17">
        <f>IF($L$37=0,"",AC34)</f>
        <v>7.5429965151573271</v>
      </c>
      <c r="Q17" s="17">
        <f t="shared" ref="Q17:X17" si="3">IF($L$37=0,"",AD34)</f>
        <v>8.9941247798414565</v>
      </c>
      <c r="R17" s="17">
        <f t="shared" si="3"/>
        <v>14.998997036330181</v>
      </c>
      <c r="S17" s="17">
        <f t="shared" si="3"/>
        <v>27.994062659949932</v>
      </c>
      <c r="T17" s="17">
        <f t="shared" si="3"/>
        <v>42.734956299189598</v>
      </c>
      <c r="U17" s="17">
        <f t="shared" si="3"/>
        <v>47.010389015526236</v>
      </c>
      <c r="V17" s="17">
        <f t="shared" si="3"/>
        <v>44.289943662899013</v>
      </c>
      <c r="W17" s="17">
        <f t="shared" si="3"/>
        <v>39.481153246956254</v>
      </c>
      <c r="X17" s="17">
        <f t="shared" si="3"/>
        <v>29.965076139254315</v>
      </c>
      <c r="Y17" s="18">
        <f>IF(OR($L$37=0,$Y$16="&lt;20",$Y$12="&lt;20"),"",$Y$12-$Y$16)</f>
        <v>28.839303287864567</v>
      </c>
      <c r="AA17" s="3" t="s">
        <v>117</v>
      </c>
      <c r="AB17" s="3">
        <v>400</v>
      </c>
      <c r="AC17" s="3">
        <v>100</v>
      </c>
    </row>
    <row r="18" spans="1:41" ht="15.75" customHeight="1">
      <c r="A18" s="44" t="s">
        <v>52</v>
      </c>
      <c r="B18" s="91">
        <v>0.1</v>
      </c>
      <c r="C18" s="91"/>
      <c r="D18" s="3" t="s">
        <v>46</v>
      </c>
      <c r="E18" s="75" t="s">
        <v>54</v>
      </c>
      <c r="F18" s="76"/>
      <c r="G18" s="76"/>
      <c r="H18" s="76"/>
      <c r="I18" s="76"/>
      <c r="J18" s="76"/>
      <c r="K18" s="76"/>
      <c r="L18" s="7">
        <f>IF(OR(B18=1,B18=0.1),1,0)</f>
        <v>1</v>
      </c>
      <c r="N18" s="21"/>
      <c r="O18" s="21"/>
      <c r="P18" s="21"/>
      <c r="Q18" s="21"/>
      <c r="R18" s="21"/>
      <c r="S18" s="21"/>
      <c r="T18" s="21"/>
      <c r="U18" s="21"/>
      <c r="V18" s="21"/>
      <c r="W18" s="21"/>
      <c r="X18" s="21"/>
      <c r="Y18" s="21"/>
      <c r="AA18" s="3" t="s">
        <v>117</v>
      </c>
      <c r="AB18" s="3">
        <v>500</v>
      </c>
      <c r="AC18" s="3">
        <v>120</v>
      </c>
      <c r="AO18" s="36"/>
    </row>
    <row r="19" spans="1:41" ht="15.75" customHeight="1">
      <c r="A19" s="44" t="s">
        <v>53</v>
      </c>
      <c r="B19" s="91">
        <v>0.7</v>
      </c>
      <c r="C19" s="91"/>
      <c r="D19" s="3" t="s">
        <v>46</v>
      </c>
      <c r="E19" s="75" t="s">
        <v>55</v>
      </c>
      <c r="F19" s="76"/>
      <c r="G19" s="76"/>
      <c r="H19" s="76"/>
      <c r="I19" s="76"/>
      <c r="J19" s="76"/>
      <c r="K19" s="76"/>
      <c r="L19" s="7">
        <f>IF(OR(B19=1,B19=0.7),1,0)</f>
        <v>1</v>
      </c>
      <c r="N19" s="74" t="s">
        <v>113</v>
      </c>
      <c r="O19" s="74"/>
      <c r="P19" s="74"/>
      <c r="Q19" s="74"/>
      <c r="R19" s="74"/>
      <c r="S19" s="74"/>
      <c r="T19" s="74"/>
      <c r="U19" s="74"/>
      <c r="V19" s="74"/>
      <c r="W19" s="74"/>
      <c r="X19" s="74"/>
      <c r="Y19" s="74"/>
    </row>
    <row r="20" spans="1:41" ht="15.75" customHeight="1">
      <c r="A20" s="44" t="s">
        <v>21</v>
      </c>
      <c r="B20" s="83">
        <v>20</v>
      </c>
      <c r="C20" s="83"/>
      <c r="D20" s="3" t="s">
        <v>127</v>
      </c>
      <c r="E20" s="75" t="s">
        <v>38</v>
      </c>
      <c r="F20" s="76"/>
      <c r="G20" s="76"/>
      <c r="H20" s="76"/>
      <c r="I20" s="76"/>
      <c r="J20" s="76"/>
      <c r="K20" s="76"/>
      <c r="L20" s="7">
        <f>IF(OR(B20&lt;-50,B20&gt;200),0,1)</f>
        <v>1</v>
      </c>
      <c r="N20" s="22"/>
      <c r="O20" s="23"/>
      <c r="P20" s="23"/>
      <c r="Q20" s="23"/>
      <c r="R20" s="23"/>
      <c r="S20" s="23"/>
      <c r="T20" s="23"/>
      <c r="U20" s="23"/>
      <c r="V20" s="23"/>
      <c r="W20" s="23"/>
      <c r="X20" s="23"/>
      <c r="Y20" s="24"/>
      <c r="AA20" s="68" t="s">
        <v>92</v>
      </c>
      <c r="AB20" s="68"/>
      <c r="AC20" s="68"/>
    </row>
    <row r="21" spans="1:41" ht="15.75" customHeight="1">
      <c r="A21" s="44" t="s">
        <v>12</v>
      </c>
      <c r="B21" s="90">
        <v>101325</v>
      </c>
      <c r="C21" s="90"/>
      <c r="D21" s="3" t="s">
        <v>128</v>
      </c>
      <c r="E21" s="75" t="s">
        <v>39</v>
      </c>
      <c r="F21" s="76"/>
      <c r="G21" s="76"/>
      <c r="H21" s="76"/>
      <c r="I21" s="76"/>
      <c r="J21" s="76"/>
      <c r="K21" s="76"/>
      <c r="L21" s="7">
        <f>IF(OR(B21&lt;98000,B21&gt;110000),0,1)</f>
        <v>1</v>
      </c>
      <c r="N21" s="25"/>
      <c r="O21" s="9"/>
      <c r="P21" s="9"/>
      <c r="Q21" s="9"/>
      <c r="R21" s="9"/>
      <c r="S21" s="9"/>
      <c r="T21" s="9"/>
      <c r="U21" s="9"/>
      <c r="V21" s="9"/>
      <c r="W21" s="9"/>
      <c r="X21" s="9"/>
      <c r="Y21" s="26"/>
      <c r="AA21" s="44" t="s">
        <v>8</v>
      </c>
      <c r="AB21" s="3" t="s">
        <v>136</v>
      </c>
      <c r="AC21" s="44">
        <v>31.5</v>
      </c>
      <c r="AD21" s="44">
        <v>63</v>
      </c>
      <c r="AE21" s="44">
        <v>125</v>
      </c>
      <c r="AF21" s="44">
        <v>250</v>
      </c>
      <c r="AG21" s="44">
        <v>500</v>
      </c>
      <c r="AH21" s="44">
        <v>1000</v>
      </c>
      <c r="AI21" s="44">
        <v>2000</v>
      </c>
      <c r="AJ21" s="44">
        <v>4000</v>
      </c>
      <c r="AK21" s="44">
        <v>8000</v>
      </c>
      <c r="AL21" s="31"/>
    </row>
    <row r="22" spans="1:41" ht="15.75" customHeight="1">
      <c r="A22" s="44" t="s">
        <v>18</v>
      </c>
      <c r="B22" s="79">
        <v>0.2</v>
      </c>
      <c r="C22" s="79"/>
      <c r="D22" s="3" t="s">
        <v>129</v>
      </c>
      <c r="E22" s="75" t="s">
        <v>101</v>
      </c>
      <c r="F22" s="76"/>
      <c r="G22" s="76"/>
      <c r="H22" s="76"/>
      <c r="I22" s="76"/>
      <c r="J22" s="76"/>
      <c r="K22" s="76"/>
      <c r="L22" s="7">
        <f>IF(B22&lt;0,0,1)</f>
        <v>1</v>
      </c>
      <c r="N22" s="25"/>
      <c r="O22" s="9"/>
      <c r="P22" s="9"/>
      <c r="Q22" s="9"/>
      <c r="R22" s="9"/>
      <c r="S22" s="9"/>
      <c r="T22" s="9"/>
      <c r="U22" s="9"/>
      <c r="V22" s="9"/>
      <c r="W22" s="9"/>
      <c r="X22" s="9"/>
      <c r="Y22" s="26"/>
      <c r="AA22" s="44" t="s">
        <v>47</v>
      </c>
      <c r="AB22" s="3" t="s">
        <v>132</v>
      </c>
      <c r="AC22" s="17">
        <v>-39.4</v>
      </c>
      <c r="AD22" s="17">
        <v>-26.2</v>
      </c>
      <c r="AE22" s="17">
        <v>-16.100000000000001</v>
      </c>
      <c r="AF22" s="17">
        <v>-8.6</v>
      </c>
      <c r="AG22" s="17">
        <v>-3.2</v>
      </c>
      <c r="AH22" s="17">
        <v>0</v>
      </c>
      <c r="AI22" s="17">
        <v>1.2</v>
      </c>
      <c r="AJ22" s="17">
        <v>1</v>
      </c>
      <c r="AK22" s="17">
        <v>-1.1000000000000001</v>
      </c>
      <c r="AL22" s="37"/>
    </row>
    <row r="23" spans="1:41" ht="15.75" customHeight="1">
      <c r="A23" s="44" t="s">
        <v>17</v>
      </c>
      <c r="B23" s="77">
        <f>IF($L$37=0,"",$B$21/(287.15*(273.15+$B$20)))</f>
        <v>1.2036989821185216</v>
      </c>
      <c r="C23" s="77"/>
      <c r="D23" s="54" t="s">
        <v>154</v>
      </c>
      <c r="E23" s="75" t="s">
        <v>27</v>
      </c>
      <c r="F23" s="76"/>
      <c r="G23" s="76"/>
      <c r="H23" s="76"/>
      <c r="I23" s="76"/>
      <c r="J23" s="76"/>
      <c r="K23" s="76"/>
      <c r="L23" s="7"/>
      <c r="N23" s="25"/>
      <c r="O23" s="9"/>
      <c r="P23" s="9"/>
      <c r="Q23" s="9"/>
      <c r="R23" s="9"/>
      <c r="S23" s="9"/>
      <c r="T23" s="9"/>
      <c r="U23" s="9"/>
      <c r="V23" s="9"/>
      <c r="W23" s="9"/>
      <c r="X23" s="9"/>
      <c r="Y23" s="26"/>
    </row>
    <row r="24" spans="1:41" ht="15.75" customHeight="1">
      <c r="A24" s="44" t="s">
        <v>7</v>
      </c>
      <c r="B24" s="77">
        <f>IF($L$37=0,"",$B$12/3600/($B$13*$B$14/1000000))</f>
        <v>4.3402777777777777</v>
      </c>
      <c r="C24" s="77"/>
      <c r="D24" s="3" t="s">
        <v>130</v>
      </c>
      <c r="E24" s="75" t="s">
        <v>45</v>
      </c>
      <c r="F24" s="76"/>
      <c r="G24" s="76"/>
      <c r="H24" s="76"/>
      <c r="I24" s="76"/>
      <c r="J24" s="76"/>
      <c r="K24" s="76"/>
      <c r="L24" s="7"/>
      <c r="N24" s="25"/>
      <c r="O24" s="9"/>
      <c r="P24" s="9"/>
      <c r="Q24" s="9"/>
      <c r="R24" s="9"/>
      <c r="S24" s="9"/>
      <c r="T24" s="9"/>
      <c r="U24" s="9"/>
      <c r="V24" s="9"/>
      <c r="W24" s="9"/>
      <c r="X24" s="9"/>
      <c r="Y24" s="26"/>
      <c r="AA24" s="68" t="s">
        <v>105</v>
      </c>
      <c r="AB24" s="68"/>
      <c r="AC24" s="68"/>
    </row>
    <row r="25" spans="1:41" ht="15.75" customHeight="1">
      <c r="A25" s="44" t="s">
        <v>6</v>
      </c>
      <c r="B25" s="78">
        <f>IF(OR($L$37=0,$B$17=0),"",$B$13/$B$17)</f>
        <v>8</v>
      </c>
      <c r="C25" s="78"/>
      <c r="D25" s="3" t="s">
        <v>133</v>
      </c>
      <c r="E25" s="75" t="s">
        <v>34</v>
      </c>
      <c r="F25" s="76"/>
      <c r="G25" s="76"/>
      <c r="H25" s="76"/>
      <c r="I25" s="76"/>
      <c r="J25" s="76"/>
      <c r="K25" s="76"/>
      <c r="L25" s="7"/>
      <c r="N25" s="25"/>
      <c r="O25" s="9"/>
      <c r="P25" s="9"/>
      <c r="Q25" s="9"/>
      <c r="R25" s="9"/>
      <c r="S25" s="9"/>
      <c r="T25" s="9"/>
      <c r="U25" s="9"/>
      <c r="V25" s="9"/>
      <c r="W25" s="9"/>
      <c r="X25" s="9"/>
      <c r="Y25" s="26"/>
      <c r="AA25" s="44" t="s">
        <v>8</v>
      </c>
      <c r="AB25" s="3" t="s">
        <v>136</v>
      </c>
      <c r="AC25" s="44">
        <v>31.5</v>
      </c>
      <c r="AD25" s="44">
        <v>63</v>
      </c>
      <c r="AE25" s="44">
        <v>125</v>
      </c>
      <c r="AF25" s="44">
        <v>250</v>
      </c>
      <c r="AG25" s="44">
        <v>500</v>
      </c>
      <c r="AH25" s="44">
        <v>1000</v>
      </c>
      <c r="AI25" s="44">
        <v>2000</v>
      </c>
      <c r="AJ25" s="44">
        <v>4000</v>
      </c>
      <c r="AK25" s="44">
        <v>8000</v>
      </c>
      <c r="AL25" s="44" t="s">
        <v>103</v>
      </c>
    </row>
    <row r="26" spans="1:41" ht="15.75" customHeight="1">
      <c r="A26" s="44" t="s">
        <v>10</v>
      </c>
      <c r="B26" s="78">
        <f>IF($L$37=0,"",$B$17-2*$AG$6)</f>
        <v>80</v>
      </c>
      <c r="C26" s="78"/>
      <c r="D26" s="3" t="s">
        <v>126</v>
      </c>
      <c r="E26" s="75" t="s">
        <v>35</v>
      </c>
      <c r="F26" s="76"/>
      <c r="G26" s="76"/>
      <c r="H26" s="76"/>
      <c r="I26" s="76"/>
      <c r="J26" s="76"/>
      <c r="K26" s="76"/>
      <c r="L26" s="6"/>
      <c r="N26" s="25"/>
      <c r="O26" s="9"/>
      <c r="P26" s="9"/>
      <c r="Q26" s="9"/>
      <c r="R26" s="9"/>
      <c r="S26" s="9"/>
      <c r="T26" s="9"/>
      <c r="U26" s="9"/>
      <c r="V26" s="9"/>
      <c r="W26" s="9"/>
      <c r="X26" s="9"/>
      <c r="Y26" s="26"/>
      <c r="AA26" s="3" t="s">
        <v>141</v>
      </c>
      <c r="AB26" s="3" t="s">
        <v>132</v>
      </c>
      <c r="AC26" s="17">
        <f>IF($Y$10="L",P12,IF($Y$10="A",IF((P12-AC22)&lt;0,0,P12-AC22)))</f>
        <v>75</v>
      </c>
      <c r="AD26" s="17">
        <f t="shared" ref="AD26:AK26" si="4">IF($Y$10="L",Q12,IF($Y$10="A",IF((Q12-AD22)&lt;0,0,Q12-AD22)))</f>
        <v>90</v>
      </c>
      <c r="AE26" s="17">
        <f t="shared" si="4"/>
        <v>100</v>
      </c>
      <c r="AF26" s="17">
        <f t="shared" si="4"/>
        <v>103</v>
      </c>
      <c r="AG26" s="17">
        <f t="shared" si="4"/>
        <v>99</v>
      </c>
      <c r="AH26" s="17">
        <f t="shared" si="4"/>
        <v>94</v>
      </c>
      <c r="AI26" s="17">
        <f t="shared" si="4"/>
        <v>84</v>
      </c>
      <c r="AJ26" s="17">
        <f t="shared" si="4"/>
        <v>78</v>
      </c>
      <c r="AK26" s="17">
        <f t="shared" si="4"/>
        <v>74</v>
      </c>
      <c r="AL26" s="20">
        <f>IF(10*LOG10((10^(AC26/10))+(10^(AD26/10))+(10^(AE26/10))+(10^(AF26/10))+(10^(AG26/10))+(10^(AH26/10))+(10^(AI26/10))+(10^(AJ26/10))+(10^(AK26/10)))&lt;20,"&lt;20",10*LOG10((10^(AC26/10))+(10^(AD26/10))+(10^(AE26/10))+(10^(AF26/10))+(10^(AG26/10))+(10^(AH26/10))+(10^(AI26/10))+(10^(AJ26/10))+(10^(AK26/10))))</f>
        <v>106.20956148272913</v>
      </c>
    </row>
    <row r="27" spans="1:41" ht="15.75" customHeight="1">
      <c r="A27" s="44" t="s">
        <v>48</v>
      </c>
      <c r="B27" s="77">
        <f>IF($L$37=0,"",($B$12/3600)/($B$26/1000*$B$14/1000*$B$25))</f>
        <v>10.850694444444445</v>
      </c>
      <c r="C27" s="77"/>
      <c r="D27" s="3" t="s">
        <v>130</v>
      </c>
      <c r="E27" s="75" t="str">
        <f>IF(AND(B27&gt;25,L37&lt;&gt;0),"rychlost proudění překračuje 25 m/s","rychlost proudění uvnitř v tlumiči")</f>
        <v>rychlost proudění uvnitř v tlumiči</v>
      </c>
      <c r="F27" s="76"/>
      <c r="G27" s="76"/>
      <c r="H27" s="76"/>
      <c r="I27" s="76"/>
      <c r="J27" s="76"/>
      <c r="K27" s="76"/>
      <c r="L27" s="6"/>
      <c r="N27" s="25"/>
      <c r="O27" s="9"/>
      <c r="P27" s="9"/>
      <c r="Q27" s="9"/>
      <c r="R27" s="9"/>
      <c r="S27" s="9"/>
      <c r="T27" s="9"/>
      <c r="U27" s="9"/>
      <c r="V27" s="9"/>
      <c r="W27" s="9"/>
      <c r="X27" s="9"/>
      <c r="Y27" s="26"/>
      <c r="AA27" s="3" t="s">
        <v>108</v>
      </c>
      <c r="AB27" s="3" t="s">
        <v>138</v>
      </c>
      <c r="AC27" s="17">
        <f>IF($Y$10="A",P12,IF($Y$10="L",IF((P12+AC22)&lt;0,0,P12+AC22)))</f>
        <v>35.6</v>
      </c>
      <c r="AD27" s="17">
        <f t="shared" ref="AD27:AK27" si="5">IF($Y$10="A",Q12,IF($Y$10="L",IF((Q12+AD22)&lt;0,0,Q12+AD22)))</f>
        <v>63.8</v>
      </c>
      <c r="AE27" s="17">
        <f t="shared" si="5"/>
        <v>83.9</v>
      </c>
      <c r="AF27" s="17">
        <f t="shared" si="5"/>
        <v>94.4</v>
      </c>
      <c r="AG27" s="17">
        <f t="shared" si="5"/>
        <v>95.8</v>
      </c>
      <c r="AH27" s="17">
        <f t="shared" si="5"/>
        <v>94</v>
      </c>
      <c r="AI27" s="17">
        <f t="shared" si="5"/>
        <v>85.2</v>
      </c>
      <c r="AJ27" s="17">
        <f t="shared" si="5"/>
        <v>79</v>
      </c>
      <c r="AK27" s="17">
        <f t="shared" si="5"/>
        <v>72.900000000000006</v>
      </c>
      <c r="AL27" s="20">
        <f>IF(10*LOG10((10^(AC27/10))+(10^(AD27/10))+(10^(AE27/10))+(10^(AF27/10))+(10^(AG27/10))+(10^(AH27/10))+(10^(AI27/10))+(10^(AJ27/10))+(10^(AK27/10)))&lt;20,"&lt;20",10*LOG10((10^(AC27/10))+(10^(AD27/10))+(10^(AE27/10))+(10^(AF27/10))+(10^(AG27/10))+(10^(AH27/10))+(10^(AI27/10))+(10^(AJ27/10))+(10^(AK27/10))))</f>
        <v>99.888239492271751</v>
      </c>
    </row>
    <row r="28" spans="1:41" ht="15.75" customHeight="1">
      <c r="A28" s="44" t="s">
        <v>57</v>
      </c>
      <c r="B28" s="77">
        <f>IF($L$37=0,"",(($B$17-$B$26)/$B$26)^2*(0.5*$B$18*($B$26/($B$17-$B$26)+1)+$B$19))</f>
        <v>1.7625</v>
      </c>
      <c r="C28" s="77"/>
      <c r="D28" s="3" t="s">
        <v>46</v>
      </c>
      <c r="E28" s="75" t="s">
        <v>37</v>
      </c>
      <c r="F28" s="76"/>
      <c r="G28" s="76"/>
      <c r="H28" s="76"/>
      <c r="I28" s="76"/>
      <c r="J28" s="76"/>
      <c r="K28" s="76"/>
      <c r="L28" s="6"/>
      <c r="N28" s="25"/>
      <c r="O28" s="9"/>
      <c r="P28" s="9"/>
      <c r="Q28" s="9"/>
      <c r="R28" s="9"/>
      <c r="S28" s="9"/>
      <c r="T28" s="9"/>
      <c r="U28" s="9"/>
      <c r="V28" s="9"/>
      <c r="W28" s="9"/>
      <c r="X28" s="9"/>
      <c r="Y28" s="26"/>
      <c r="AA28" s="3" t="s">
        <v>102</v>
      </c>
      <c r="AB28" s="3" t="s">
        <v>132</v>
      </c>
      <c r="AC28" s="50">
        <f>IF(OR($L$37=0,ISERR(DGET(AA37:AQ61,"31,5",AS37:AU38))),0,DGET(AA37:AQ61,"31,5",AS37:AU38))</f>
        <v>8</v>
      </c>
      <c r="AD28" s="50">
        <f>IF(OR($L$37=0,ISERR(DGET(AA37:AQ61,"63",AS37:AU38))),0,DGET(AA37:AQ61,"63",AS37:AU38))</f>
        <v>9</v>
      </c>
      <c r="AE28" s="50">
        <f>IF(OR($L$37=0,ISERR(DGET(AA37:AQ61,"125",AS37:AU38))),0,DGET(AA37:AQ61,"125",AS37:AU38))</f>
        <v>15</v>
      </c>
      <c r="AF28" s="50">
        <f>IF(OR($L$37=0,ISERR(DGET(AA37:AQ61,"250",AS37:AU38))),0,DGET(AA37:AQ61,"250",AS37:AU38))</f>
        <v>28</v>
      </c>
      <c r="AG28" s="50">
        <f>IF(OR($L$37=0,ISERR(DGET(AA37:AQ61,"500",AS37:AU38))),0,DGET(AA37:AQ61,"500",AS37:AU38))</f>
        <v>43</v>
      </c>
      <c r="AH28" s="50">
        <f>IF(OR($L$37=0,ISERR(DGET(AA37:AQ61,"1000",AS37:AU38))),0,DGET(AA37:AQ61,"1000",AS37:AU38))</f>
        <v>48</v>
      </c>
      <c r="AI28" s="50">
        <f>IF(OR($L$37=0,ISERR(DGET(AA37:AQ61,"2000",AS37:AU38))),0,DGET(AA37:AQ61,"2000",AS37:AU38))</f>
        <v>46</v>
      </c>
      <c r="AJ28" s="50">
        <f>IF(OR($L$37=0,ISERR(DGET(AA37:AQ61,"4000",AS37:AU38))),0,DGET(AA37:AQ61,"4000",AS37:AU38))</f>
        <v>40</v>
      </c>
      <c r="AK28" s="50">
        <f>IF(OR($L$37=0,ISERR(DGET(AA37:AQ61,"8000",AS37:AU38))),0,DGET(AA37:AQ61,"8000",AS37:AU38))</f>
        <v>30</v>
      </c>
      <c r="AL28" s="3" t="s">
        <v>46</v>
      </c>
    </row>
    <row r="29" spans="1:41" ht="15.75" customHeight="1">
      <c r="A29" s="44" t="s">
        <v>56</v>
      </c>
      <c r="B29" s="77">
        <f>IF($L$37=0,"",0.025*$B$15/$B$26*(1+($B$17-$B$26)/$B$26)^2)</f>
        <v>3.90625</v>
      </c>
      <c r="C29" s="77"/>
      <c r="D29" s="3" t="s">
        <v>46</v>
      </c>
      <c r="E29" s="75" t="s">
        <v>28</v>
      </c>
      <c r="F29" s="76"/>
      <c r="G29" s="76"/>
      <c r="H29" s="76"/>
      <c r="I29" s="76"/>
      <c r="J29" s="76"/>
      <c r="K29" s="76"/>
      <c r="L29" s="6"/>
      <c r="N29" s="25"/>
      <c r="O29" s="9"/>
      <c r="P29" s="9"/>
      <c r="Q29" s="9"/>
      <c r="R29" s="9"/>
      <c r="S29" s="9"/>
      <c r="T29" s="9"/>
      <c r="U29" s="9"/>
      <c r="V29" s="9"/>
      <c r="W29" s="9"/>
      <c r="X29" s="9"/>
      <c r="Y29" s="26"/>
      <c r="AA29" s="3" t="s">
        <v>142</v>
      </c>
      <c r="AB29" s="3" t="s">
        <v>132</v>
      </c>
      <c r="AC29" s="17">
        <f>IF($L$37=0,0,IF($B$37+(10*LOG10($B$21*$B$31*$B$33/$B$36)+60*LOG10($B$32)+10*LOG10(1+($B$31/(2*AC25*$B$34))^2)-10*LOG10(1+(AC25*$B$35/$B$27)^2))&lt;0,0,$B$37+(10*LOG10($B$21*$B$31*$B$33/$B$36)+60*LOG10($B$32)+10*LOG10(1+($B$31/(2*AC25*$B$34))^2)-10*LOG10(1+(AC25*$B$35/$B$27)^2))))</f>
        <v>57.451857311846062</v>
      </c>
      <c r="AD29" s="17">
        <f t="shared" ref="AD29:AK29" si="6">IF($L$37=0,0,IF($B$37+(10*LOG10($B$21*$B$31*$B$33/$B$36)+60*LOG10($B$32)+10*LOG10(1+($B$31/(2*AD25*$B$34))^2)-10*LOG10(1+(AD25*$B$35/$B$27)^2))&lt;0,0,$B$37+(10*LOG10($B$21*$B$31*$B$33/$B$36)+60*LOG10($B$32)+10*LOG10(1+($B$31/(2*AD25*$B$34))^2)-10*LOG10(1+(AD25*$B$35/$B$27)^2))))</f>
        <v>52.315336281242587</v>
      </c>
      <c r="AE29" s="17">
        <f t="shared" si="6"/>
        <v>48.635510397770346</v>
      </c>
      <c r="AF29" s="17">
        <f t="shared" si="6"/>
        <v>46.361045125666408</v>
      </c>
      <c r="AG29" s="17">
        <f t="shared" si="6"/>
        <v>43.988527554492961</v>
      </c>
      <c r="AH29" s="17">
        <f t="shared" si="6"/>
        <v>40.080999182803041</v>
      </c>
      <c r="AI29" s="17">
        <f t="shared" si="6"/>
        <v>34.835309047962902</v>
      </c>
      <c r="AJ29" s="17">
        <f t="shared" si="6"/>
        <v>29.034553740603592</v>
      </c>
      <c r="AK29" s="17">
        <f t="shared" si="6"/>
        <v>23.070852997649652</v>
      </c>
      <c r="AL29" s="20">
        <f>IF(10*LOG10((10^(AC29/10))+(10^(AD29/10))+(10^(AE29/10))+(10^(AF29/10))+(10^(AG29/10))+(10^(AH29/10))+(10^(AI29/10))+(10^(AJ29/10))+(10^(AK29/10)))&lt;20,"&lt;20",10*LOG10((10^(AC29/10))+(10^(AD29/10))+(10^(AE29/10))+(10^(AF29/10))+(10^(AG29/10))+(10^(AH29/10))+(10^(AI29/10))+(10^(AJ29/10))+(10^(AK29/10))))</f>
        <v>59.455455267482591</v>
      </c>
    </row>
    <row r="30" spans="1:41" ht="15.75" customHeight="1">
      <c r="A30" s="44" t="s">
        <v>58</v>
      </c>
      <c r="B30" s="77">
        <f>IF($L$37=0,"",$B$28+$B$29)</f>
        <v>5.6687500000000002</v>
      </c>
      <c r="C30" s="77"/>
      <c r="D30" s="3" t="s">
        <v>46</v>
      </c>
      <c r="E30" s="75" t="s">
        <v>139</v>
      </c>
      <c r="F30" s="76"/>
      <c r="G30" s="76"/>
      <c r="H30" s="76"/>
      <c r="I30" s="76"/>
      <c r="J30" s="76"/>
      <c r="K30" s="76"/>
      <c r="L30" s="6"/>
      <c r="N30" s="25"/>
      <c r="O30" s="9"/>
      <c r="P30" s="9"/>
      <c r="Q30" s="9"/>
      <c r="R30" s="9"/>
      <c r="S30" s="9"/>
      <c r="T30" s="9"/>
      <c r="U30" s="9"/>
      <c r="V30" s="9"/>
      <c r="W30" s="9"/>
      <c r="X30" s="9"/>
      <c r="Y30" s="26"/>
      <c r="AA30" s="3" t="s">
        <v>109</v>
      </c>
      <c r="AB30" s="3" t="s">
        <v>138</v>
      </c>
      <c r="AC30" s="17">
        <f>IF($L$37=0,0,IF((AC29+AC22)&lt;0,0,AC29+AC22))</f>
        <v>18.051857311846064</v>
      </c>
      <c r="AD30" s="17">
        <f t="shared" ref="AD30:AK30" si="7">IF($L$37=0,0,IF((AD29+AD22)&lt;0,0,AD29+AD22))</f>
        <v>26.115336281242588</v>
      </c>
      <c r="AE30" s="17">
        <f t="shared" si="7"/>
        <v>32.535510397770345</v>
      </c>
      <c r="AF30" s="17">
        <f t="shared" si="7"/>
        <v>37.761045125666406</v>
      </c>
      <c r="AG30" s="17">
        <f t="shared" si="7"/>
        <v>40.788527554492958</v>
      </c>
      <c r="AH30" s="17">
        <f t="shared" si="7"/>
        <v>40.080999182803041</v>
      </c>
      <c r="AI30" s="17">
        <f t="shared" si="7"/>
        <v>36.035309047962905</v>
      </c>
      <c r="AJ30" s="17">
        <f t="shared" si="7"/>
        <v>30.034553740603592</v>
      </c>
      <c r="AK30" s="17">
        <f t="shared" si="7"/>
        <v>21.970852997649651</v>
      </c>
      <c r="AL30" s="20">
        <f>IF(10*LOG10((10^(AC30/10))+(10^(AD30/10))+(10^(AE30/10))+(10^(AF30/10))+(10^(AG30/10))+(10^(AH30/10))+(10^(AI30/10))+(10^(AJ30/10))+(10^(AK30/10)))&lt;20,"&lt;20",10*LOG10((10^(AC30/10))+(10^(AD30/10))+(10^(AE30/10))+(10^(AF30/10))+(10^(AG30/10))+(10^(AH30/10))+(10^(AI30/10))+(10^(AJ30/10))+(10^(AK30/10))))</f>
        <v>45.513952983489347</v>
      </c>
    </row>
    <row r="31" spans="1:41" ht="15.75" customHeight="1">
      <c r="A31" s="44" t="s">
        <v>5</v>
      </c>
      <c r="B31" s="77">
        <f>IF($L$37=0,"",(1.4*287.15*(273.15+$B$20))^0.5)</f>
        <v>343.29175856696583</v>
      </c>
      <c r="C31" s="77"/>
      <c r="D31" s="3" t="s">
        <v>130</v>
      </c>
      <c r="E31" s="75" t="s">
        <v>42</v>
      </c>
      <c r="F31" s="76"/>
      <c r="G31" s="76"/>
      <c r="H31" s="76"/>
      <c r="I31" s="76"/>
      <c r="J31" s="76"/>
      <c r="K31" s="76"/>
      <c r="L31" s="6"/>
      <c r="N31" s="25"/>
      <c r="O31" s="9"/>
      <c r="P31" s="9"/>
      <c r="Q31" s="9"/>
      <c r="R31" s="9"/>
      <c r="S31" s="9"/>
      <c r="T31" s="9"/>
      <c r="U31" s="9"/>
      <c r="V31" s="9"/>
      <c r="W31" s="9"/>
      <c r="X31" s="9"/>
      <c r="Y31" s="26"/>
      <c r="AA31" s="3" t="s">
        <v>110</v>
      </c>
      <c r="AB31" s="3" t="s">
        <v>132</v>
      </c>
      <c r="AC31" s="17">
        <f>P15</f>
        <v>0</v>
      </c>
      <c r="AD31" s="17">
        <f t="shared" ref="AD31:AK31" si="8">Q15</f>
        <v>0</v>
      </c>
      <c r="AE31" s="17">
        <f t="shared" si="8"/>
        <v>0</v>
      </c>
      <c r="AF31" s="17">
        <f t="shared" si="8"/>
        <v>0</v>
      </c>
      <c r="AG31" s="17">
        <f t="shared" si="8"/>
        <v>0</v>
      </c>
      <c r="AH31" s="17">
        <f t="shared" si="8"/>
        <v>0</v>
      </c>
      <c r="AI31" s="17">
        <f t="shared" si="8"/>
        <v>0</v>
      </c>
      <c r="AJ31" s="17">
        <f t="shared" si="8"/>
        <v>0</v>
      </c>
      <c r="AK31" s="17">
        <f t="shared" si="8"/>
        <v>0</v>
      </c>
      <c r="AL31" s="3" t="s">
        <v>46</v>
      </c>
    </row>
    <row r="32" spans="1:41" ht="15.75" customHeight="1">
      <c r="A32" s="44" t="s">
        <v>11</v>
      </c>
      <c r="B32" s="77">
        <f>IF($L$37=0,"",$B$27/$B$31)</f>
        <v>3.1607791837880088E-2</v>
      </c>
      <c r="C32" s="77"/>
      <c r="D32" s="3" t="s">
        <v>46</v>
      </c>
      <c r="E32" s="75" t="s">
        <v>29</v>
      </c>
      <c r="F32" s="76"/>
      <c r="G32" s="76"/>
      <c r="H32" s="76"/>
      <c r="I32" s="76"/>
      <c r="J32" s="76"/>
      <c r="K32" s="76"/>
      <c r="L32" s="6"/>
      <c r="N32" s="25"/>
      <c r="O32" s="9"/>
      <c r="P32" s="9"/>
      <c r="Q32" s="9"/>
      <c r="R32" s="9"/>
      <c r="S32" s="9"/>
      <c r="T32" s="9"/>
      <c r="U32" s="9"/>
      <c r="V32" s="9"/>
      <c r="W32" s="9"/>
      <c r="X32" s="9"/>
      <c r="Y32" s="26"/>
      <c r="AA32" s="3" t="s">
        <v>143</v>
      </c>
      <c r="AB32" s="3" t="s">
        <v>132</v>
      </c>
      <c r="AC32" s="17">
        <f>IF($L$37=0,0,IF(10*LOG10(10^((AC26-AC28-AC31)/10)+10^(AC29/10))&lt;0,0,10*LOG10(10^((AC26-AC28-AC31)/10)+10^(AC29/10))))</f>
        <v>67.457003484842673</v>
      </c>
      <c r="AD32" s="17">
        <f t="shared" ref="AD32:AK32" si="9">IF($L$37=0,0,IF(10*LOG10(10^((AD26-AD28-AD31)/10)+10^(AD29/10))&lt;0,0,10*LOG10(10^((AD26-AD28-AD31)/10)+10^(AD29/10))))</f>
        <v>81.005875220158543</v>
      </c>
      <c r="AE32" s="17">
        <f t="shared" si="9"/>
        <v>85.001002963669819</v>
      </c>
      <c r="AF32" s="17">
        <f t="shared" si="9"/>
        <v>75.005937340050068</v>
      </c>
      <c r="AG32" s="17">
        <f t="shared" si="9"/>
        <v>56.265043700810402</v>
      </c>
      <c r="AH32" s="17">
        <f t="shared" si="9"/>
        <v>46.989610984473764</v>
      </c>
      <c r="AI32" s="17">
        <f t="shared" si="9"/>
        <v>39.710056337100987</v>
      </c>
      <c r="AJ32" s="17">
        <f t="shared" si="9"/>
        <v>38.518846753043746</v>
      </c>
      <c r="AK32" s="17">
        <f t="shared" si="9"/>
        <v>44.034923860745685</v>
      </c>
      <c r="AL32" s="20">
        <f>IF(10*LOG10((10^(AC32/10))+(10^(AD32/10))+(10^(AE32/10))+(10^(AF32/10))+(10^(AG32/10))+(10^(AH32/10))+(10^(AI32/10))+(10^(AJ32/10))+(10^(AK32/10)))&lt;20,"&lt;20",10*LOG10((10^(AC32/10))+(10^(AD32/10))+(10^(AE32/10))+(10^(AF32/10))+(10^(AG32/10))+(10^(AH32/10))+(10^(AI32/10))+(10^(AJ32/10))+(10^(AK32/10))))</f>
        <v>86.813432559194467</v>
      </c>
    </row>
    <row r="33" spans="1:48" ht="15.75" customHeight="1">
      <c r="A33" s="44" t="s">
        <v>2</v>
      </c>
      <c r="B33" s="77">
        <f>IF($L$37=0,"",$B$26*$B$14*$B$25/1000000)</f>
        <v>0.64</v>
      </c>
      <c r="C33" s="77"/>
      <c r="D33" s="54" t="s">
        <v>155</v>
      </c>
      <c r="E33" s="75" t="s">
        <v>151</v>
      </c>
      <c r="F33" s="76"/>
      <c r="G33" s="76"/>
      <c r="H33" s="76"/>
      <c r="I33" s="76"/>
      <c r="J33" s="76"/>
      <c r="K33" s="76"/>
      <c r="L33" s="6"/>
      <c r="N33" s="25"/>
      <c r="O33" s="9"/>
      <c r="P33" s="9"/>
      <c r="Q33" s="9"/>
      <c r="R33" s="9"/>
      <c r="S33" s="9"/>
      <c r="T33" s="9"/>
      <c r="U33" s="9"/>
      <c r="V33" s="9"/>
      <c r="W33" s="9"/>
      <c r="X33" s="9"/>
      <c r="Y33" s="26"/>
      <c r="AA33" s="3" t="s">
        <v>111</v>
      </c>
      <c r="AB33" s="3" t="s">
        <v>138</v>
      </c>
      <c r="AC33" s="17">
        <f>IF($L$37=0,0,IF((AC32+AC22)&lt;0,0,AC32+AC22))</f>
        <v>28.057003484842674</v>
      </c>
      <c r="AD33" s="17">
        <f t="shared" ref="AD33:AK33" si="10">IF($L$37=0,0,IF((AD32+AD22)&lt;0,0,AD32+AD22))</f>
        <v>54.805875220158541</v>
      </c>
      <c r="AE33" s="17">
        <f t="shared" si="10"/>
        <v>68.901002963669811</v>
      </c>
      <c r="AF33" s="17">
        <f t="shared" si="10"/>
        <v>66.405937340050073</v>
      </c>
      <c r="AG33" s="17">
        <f t="shared" si="10"/>
        <v>53.065043700810399</v>
      </c>
      <c r="AH33" s="17">
        <f t="shared" si="10"/>
        <v>46.989610984473764</v>
      </c>
      <c r="AI33" s="17">
        <f t="shared" si="10"/>
        <v>40.91005633710099</v>
      </c>
      <c r="AJ33" s="17">
        <f t="shared" si="10"/>
        <v>39.518846753043746</v>
      </c>
      <c r="AK33" s="17">
        <f t="shared" si="10"/>
        <v>42.934923860745684</v>
      </c>
      <c r="AL33" s="20">
        <f>IF(10*LOG10((10^(AC33/10))+(10^(AD33/10))+(10^(AE33/10))+(10^(AF33/10))+(10^(AG33/10))+(10^(AH33/10))+(10^(AI33/10))+(10^(AJ33/10))+(10^(AK33/10)))&lt;20,"&lt;20",10*LOG10((10^(AC33/10))+(10^(AD33/10))+(10^(AE33/10))+(10^(AF33/10))+(10^(AG33/10))+(10^(AH33/10))+(10^(AI33/10))+(10^(AJ33/10))+(10^(AK33/10))))</f>
        <v>71.048936204407184</v>
      </c>
    </row>
    <row r="34" spans="1:48" ht="15.75" customHeight="1">
      <c r="A34" s="44" t="s">
        <v>13</v>
      </c>
      <c r="B34" s="77">
        <f>IF($L$37=0,"",IF($B$13&gt;$B$14,$B$13/1000,$B$14/1000))</f>
        <v>1.6</v>
      </c>
      <c r="C34" s="77"/>
      <c r="D34" s="3" t="s">
        <v>134</v>
      </c>
      <c r="E34" s="75" t="s">
        <v>30</v>
      </c>
      <c r="F34" s="76"/>
      <c r="G34" s="76"/>
      <c r="H34" s="76"/>
      <c r="I34" s="76"/>
      <c r="J34" s="76"/>
      <c r="K34" s="76"/>
      <c r="L34" s="6"/>
      <c r="N34" s="25"/>
      <c r="O34" s="9"/>
      <c r="P34" s="9"/>
      <c r="Q34" s="9"/>
      <c r="R34" s="9"/>
      <c r="S34" s="9"/>
      <c r="T34" s="9"/>
      <c r="U34" s="9"/>
      <c r="V34" s="9"/>
      <c r="W34" s="9"/>
      <c r="X34" s="9"/>
      <c r="Y34" s="26"/>
      <c r="AA34" s="3" t="s">
        <v>112</v>
      </c>
      <c r="AB34" s="3" t="s">
        <v>132</v>
      </c>
      <c r="AC34" s="17">
        <f>IF($L$37=0,0,IF($Y$10="L",AC26-AC32,IF($Y$10="A",AC27-AC33,"")))</f>
        <v>7.5429965151573271</v>
      </c>
      <c r="AD34" s="17">
        <f t="shared" ref="AD34:AK34" si="11">IF($L$37=0,0,IF($Y$10="L",AD26-AD32,IF($Y$10="A",AD27-AD33,"")))</f>
        <v>8.9941247798414565</v>
      </c>
      <c r="AE34" s="17">
        <f t="shared" si="11"/>
        <v>14.998997036330181</v>
      </c>
      <c r="AF34" s="17">
        <f t="shared" si="11"/>
        <v>27.994062659949932</v>
      </c>
      <c r="AG34" s="17">
        <f t="shared" si="11"/>
        <v>42.734956299189598</v>
      </c>
      <c r="AH34" s="17">
        <f t="shared" si="11"/>
        <v>47.010389015526236</v>
      </c>
      <c r="AI34" s="17">
        <f t="shared" si="11"/>
        <v>44.289943662899013</v>
      </c>
      <c r="AJ34" s="17">
        <f t="shared" si="11"/>
        <v>39.481153246956254</v>
      </c>
      <c r="AK34" s="17">
        <f t="shared" si="11"/>
        <v>29.965076139254315</v>
      </c>
      <c r="AL34" s="3" t="s">
        <v>46</v>
      </c>
    </row>
    <row r="35" spans="1:48" ht="15.75" customHeight="1">
      <c r="A35" s="44" t="s">
        <v>14</v>
      </c>
      <c r="B35" s="77">
        <f>IF($L$37=0,"",0.02)</f>
        <v>0.02</v>
      </c>
      <c r="C35" s="77"/>
      <c r="D35" s="3" t="s">
        <v>46</v>
      </c>
      <c r="E35" s="75" t="s">
        <v>31</v>
      </c>
      <c r="F35" s="76"/>
      <c r="G35" s="76"/>
      <c r="H35" s="76"/>
      <c r="I35" s="76"/>
      <c r="J35" s="76"/>
      <c r="K35" s="76"/>
      <c r="L35" s="6"/>
      <c r="N35" s="25"/>
      <c r="O35" s="9"/>
      <c r="P35" s="9"/>
      <c r="Q35" s="9"/>
      <c r="R35" s="9"/>
      <c r="S35" s="9"/>
      <c r="T35" s="9"/>
      <c r="U35" s="9"/>
      <c r="V35" s="9"/>
      <c r="W35" s="9"/>
      <c r="X35" s="9"/>
      <c r="Y35" s="26"/>
    </row>
    <row r="36" spans="1:48" ht="15.75" customHeight="1">
      <c r="A36" s="44" t="s">
        <v>59</v>
      </c>
      <c r="B36" s="77">
        <f>IF($L$37=0,"",1)</f>
        <v>1</v>
      </c>
      <c r="C36" s="77"/>
      <c r="D36" s="3" t="s">
        <v>131</v>
      </c>
      <c r="E36" s="75" t="s">
        <v>32</v>
      </c>
      <c r="F36" s="76"/>
      <c r="G36" s="76"/>
      <c r="H36" s="76"/>
      <c r="I36" s="76"/>
      <c r="J36" s="76"/>
      <c r="K36" s="76"/>
      <c r="L36" s="6"/>
      <c r="N36" s="25"/>
      <c r="O36" s="9"/>
      <c r="P36" s="9"/>
      <c r="Q36" s="9"/>
      <c r="R36" s="9"/>
      <c r="S36" s="9"/>
      <c r="T36" s="9"/>
      <c r="U36" s="9"/>
      <c r="V36" s="9"/>
      <c r="W36" s="9"/>
      <c r="X36" s="9"/>
      <c r="Y36" s="26"/>
      <c r="AA36" s="68" t="s">
        <v>106</v>
      </c>
      <c r="AB36" s="68"/>
      <c r="AC36" s="68"/>
      <c r="AS36" s="68" t="s">
        <v>115</v>
      </c>
      <c r="AT36" s="68"/>
      <c r="AU36" s="68"/>
      <c r="AV36" s="68"/>
    </row>
    <row r="37" spans="1:48" ht="15.75" customHeight="1">
      <c r="A37" s="44" t="s">
        <v>15</v>
      </c>
      <c r="B37" s="77">
        <f>IF($L$37=0,"",63)</f>
        <v>63</v>
      </c>
      <c r="C37" s="77"/>
      <c r="D37" s="3" t="s">
        <v>132</v>
      </c>
      <c r="E37" s="75" t="s">
        <v>33</v>
      </c>
      <c r="F37" s="76"/>
      <c r="G37" s="76"/>
      <c r="H37" s="76"/>
      <c r="I37" s="76"/>
      <c r="J37" s="76"/>
      <c r="K37" s="76"/>
      <c r="L37" s="6">
        <f>L12*L13*L14*L15*L16*L17*L18*L19*L20*L21*L22*AG7*AV39</f>
        <v>1</v>
      </c>
      <c r="N37" s="25"/>
      <c r="O37" s="9"/>
      <c r="P37" s="9"/>
      <c r="Q37" s="9"/>
      <c r="R37" s="9"/>
      <c r="S37" s="9"/>
      <c r="T37" s="9"/>
      <c r="U37" s="9"/>
      <c r="V37" s="9"/>
      <c r="W37" s="9"/>
      <c r="X37" s="9"/>
      <c r="Y37" s="26"/>
      <c r="AA37" s="70" t="s">
        <v>116</v>
      </c>
      <c r="AB37" s="71"/>
      <c r="AC37" s="72"/>
      <c r="AD37" s="44" t="s">
        <v>77</v>
      </c>
      <c r="AE37" s="44" t="s">
        <v>78</v>
      </c>
      <c r="AF37" s="44" t="s">
        <v>82</v>
      </c>
      <c r="AG37" s="44" t="s">
        <v>99</v>
      </c>
      <c r="AH37" s="44" t="s">
        <v>124</v>
      </c>
      <c r="AI37" s="44">
        <v>31.5</v>
      </c>
      <c r="AJ37" s="44">
        <v>63</v>
      </c>
      <c r="AK37" s="44">
        <v>125</v>
      </c>
      <c r="AL37" s="44">
        <v>250</v>
      </c>
      <c r="AM37" s="44">
        <v>500</v>
      </c>
      <c r="AN37" s="44">
        <v>1000</v>
      </c>
      <c r="AO37" s="44">
        <v>2000</v>
      </c>
      <c r="AP37" s="44">
        <v>4000</v>
      </c>
      <c r="AQ37" s="44">
        <v>8000</v>
      </c>
      <c r="AS37" s="44" t="s">
        <v>77</v>
      </c>
      <c r="AT37" s="44" t="s">
        <v>78</v>
      </c>
      <c r="AU37" s="44" t="s">
        <v>82</v>
      </c>
      <c r="AV37" s="44" t="s">
        <v>99</v>
      </c>
    </row>
    <row r="38" spans="1:48" ht="15.75" customHeight="1">
      <c r="L38" s="30" t="s">
        <v>44</v>
      </c>
      <c r="N38" s="25"/>
      <c r="O38" s="9"/>
      <c r="P38" s="9"/>
      <c r="Q38" s="9"/>
      <c r="R38" s="9"/>
      <c r="S38" s="9"/>
      <c r="T38" s="9"/>
      <c r="U38" s="9"/>
      <c r="V38" s="9"/>
      <c r="W38" s="9"/>
      <c r="X38" s="9"/>
      <c r="Y38" s="26"/>
      <c r="AA38" s="45" t="s">
        <v>60</v>
      </c>
      <c r="AB38" s="46"/>
      <c r="AC38" s="47"/>
      <c r="AD38" s="3" t="s">
        <v>16</v>
      </c>
      <c r="AE38" s="34">
        <v>200</v>
      </c>
      <c r="AF38" s="34">
        <v>1000</v>
      </c>
      <c r="AG38" s="17">
        <v>10</v>
      </c>
      <c r="AH38" s="34">
        <v>1410</v>
      </c>
      <c r="AI38" s="3">
        <v>6</v>
      </c>
      <c r="AJ38" s="3">
        <v>6</v>
      </c>
      <c r="AK38" s="3">
        <v>9</v>
      </c>
      <c r="AL38" s="3">
        <v>15</v>
      </c>
      <c r="AM38" s="3">
        <v>26</v>
      </c>
      <c r="AN38" s="3">
        <v>40</v>
      </c>
      <c r="AO38" s="3">
        <v>35</v>
      </c>
      <c r="AP38" s="3">
        <v>30</v>
      </c>
      <c r="AQ38" s="3">
        <v>19</v>
      </c>
      <c r="AS38" s="3" t="str">
        <f>CONCATENATE("=",B16)</f>
        <v>=G</v>
      </c>
      <c r="AT38" s="34">
        <f>B17</f>
        <v>200</v>
      </c>
      <c r="AU38" s="3">
        <f>IF($B$15=1000,1000,IF($B$15=1500,1500,IF($B$15=2000,2000,0)))</f>
        <v>2000</v>
      </c>
      <c r="AV38" s="16">
        <f>IF(ISERR(DGET(AA37:AQ61,"Váha",AS37:AU38)),"",DGET(AA37:AQ61,"Váha",AS37:AU38))</f>
        <v>24</v>
      </c>
    </row>
    <row r="39" spans="1:48" ht="15.75" customHeight="1">
      <c r="A39" s="73" t="s">
        <v>24</v>
      </c>
      <c r="B39" s="73"/>
      <c r="C39" s="73"/>
      <c r="D39" s="73"/>
      <c r="E39" s="73"/>
      <c r="F39" s="73"/>
      <c r="G39" s="73"/>
      <c r="H39" s="73"/>
      <c r="I39" s="73"/>
      <c r="J39" s="73"/>
      <c r="K39" s="73"/>
      <c r="L39" s="73"/>
      <c r="N39" s="25"/>
      <c r="O39" s="9"/>
      <c r="P39" s="9"/>
      <c r="Q39" s="9"/>
      <c r="R39" s="9"/>
      <c r="S39" s="9"/>
      <c r="T39" s="9"/>
      <c r="U39" s="9"/>
      <c r="V39" s="9"/>
      <c r="W39" s="9"/>
      <c r="X39" s="9"/>
      <c r="Y39" s="26"/>
      <c r="AA39" s="45" t="s">
        <v>61</v>
      </c>
      <c r="AB39" s="46"/>
      <c r="AC39" s="47"/>
      <c r="AD39" s="3" t="s">
        <v>16</v>
      </c>
      <c r="AE39" s="34">
        <v>200</v>
      </c>
      <c r="AF39" s="34">
        <v>1500</v>
      </c>
      <c r="AG39" s="17">
        <v>15</v>
      </c>
      <c r="AH39" s="34">
        <v>2205</v>
      </c>
      <c r="AI39" s="3">
        <v>7</v>
      </c>
      <c r="AJ39" s="3">
        <v>7</v>
      </c>
      <c r="AK39" s="3">
        <v>12</v>
      </c>
      <c r="AL39" s="3">
        <v>21</v>
      </c>
      <c r="AM39" s="3">
        <v>38</v>
      </c>
      <c r="AN39" s="3">
        <v>43</v>
      </c>
      <c r="AO39" s="3">
        <v>40</v>
      </c>
      <c r="AP39" s="3">
        <v>33</v>
      </c>
      <c r="AQ39" s="3">
        <v>26</v>
      </c>
      <c r="AU39" s="51" t="s">
        <v>152</v>
      </c>
      <c r="AV39" s="51">
        <f>IF(AV38="",0,1)</f>
        <v>1</v>
      </c>
    </row>
    <row r="40" spans="1:48" ht="15.75" customHeight="1">
      <c r="A40" s="44" t="s">
        <v>8</v>
      </c>
      <c r="B40" s="3" t="s">
        <v>136</v>
      </c>
      <c r="C40" s="3">
        <v>31.5</v>
      </c>
      <c r="D40" s="3">
        <v>63</v>
      </c>
      <c r="E40" s="3">
        <v>125</v>
      </c>
      <c r="F40" s="3">
        <v>250</v>
      </c>
      <c r="G40" s="3">
        <v>500</v>
      </c>
      <c r="H40" s="3">
        <v>1000</v>
      </c>
      <c r="I40" s="3">
        <v>2000</v>
      </c>
      <c r="J40" s="3">
        <v>4000</v>
      </c>
      <c r="K40" s="3">
        <v>8000</v>
      </c>
      <c r="L40" s="3" t="s">
        <v>109</v>
      </c>
      <c r="N40" s="25"/>
      <c r="O40" s="9"/>
      <c r="P40" s="9"/>
      <c r="Q40" s="9"/>
      <c r="R40" s="9"/>
      <c r="S40" s="9"/>
      <c r="T40" s="9"/>
      <c r="U40" s="9"/>
      <c r="V40" s="9"/>
      <c r="W40" s="9"/>
      <c r="X40" s="9"/>
      <c r="Y40" s="26"/>
      <c r="AA40" s="45" t="s">
        <v>62</v>
      </c>
      <c r="AB40" s="46"/>
      <c r="AC40" s="47"/>
      <c r="AD40" s="3" t="s">
        <v>16</v>
      </c>
      <c r="AE40" s="34">
        <v>200</v>
      </c>
      <c r="AF40" s="34">
        <v>2000</v>
      </c>
      <c r="AG40" s="17">
        <v>24</v>
      </c>
      <c r="AH40" s="34">
        <v>2765</v>
      </c>
      <c r="AI40" s="3">
        <v>8</v>
      </c>
      <c r="AJ40" s="3">
        <v>9</v>
      </c>
      <c r="AK40" s="3">
        <v>15</v>
      </c>
      <c r="AL40" s="3">
        <v>28</v>
      </c>
      <c r="AM40" s="3">
        <v>43</v>
      </c>
      <c r="AN40" s="3">
        <v>48</v>
      </c>
      <c r="AO40" s="3">
        <v>46</v>
      </c>
      <c r="AP40" s="3">
        <v>40</v>
      </c>
      <c r="AQ40" s="3">
        <v>30</v>
      </c>
    </row>
    <row r="41" spans="1:48" ht="15.75" customHeight="1">
      <c r="A41" s="44" t="s">
        <v>140</v>
      </c>
      <c r="B41" s="3" t="s">
        <v>132</v>
      </c>
      <c r="C41" s="20">
        <f>IF($L$37=0,"",AC29)</f>
        <v>57.451857311846062</v>
      </c>
      <c r="D41" s="20">
        <f t="shared" ref="D41:K41" si="12">IF($L$37=0,"",AD29)</f>
        <v>52.315336281242587</v>
      </c>
      <c r="E41" s="20">
        <f t="shared" si="12"/>
        <v>48.635510397770346</v>
      </c>
      <c r="F41" s="20">
        <f t="shared" si="12"/>
        <v>46.361045125666408</v>
      </c>
      <c r="G41" s="20">
        <f t="shared" si="12"/>
        <v>43.988527554492961</v>
      </c>
      <c r="H41" s="20">
        <f t="shared" si="12"/>
        <v>40.080999182803041</v>
      </c>
      <c r="I41" s="20">
        <f t="shared" si="12"/>
        <v>34.835309047962902</v>
      </c>
      <c r="J41" s="20">
        <f t="shared" si="12"/>
        <v>29.034553740603592</v>
      </c>
      <c r="K41" s="20">
        <f t="shared" si="12"/>
        <v>23.070852997649652</v>
      </c>
      <c r="L41" s="18">
        <f>IF($L$37=0,"",$AL$30)</f>
        <v>45.513952983489347</v>
      </c>
      <c r="N41" s="27"/>
      <c r="O41" s="28"/>
      <c r="P41" s="28"/>
      <c r="Q41" s="28"/>
      <c r="R41" s="28"/>
      <c r="S41" s="28"/>
      <c r="T41" s="28"/>
      <c r="U41" s="28"/>
      <c r="V41" s="28"/>
      <c r="W41" s="28"/>
      <c r="X41" s="28"/>
      <c r="Y41" s="29"/>
      <c r="AA41" s="45" t="s">
        <v>63</v>
      </c>
      <c r="AB41" s="46"/>
      <c r="AC41" s="47"/>
      <c r="AD41" s="3" t="s">
        <v>16</v>
      </c>
      <c r="AE41" s="34">
        <v>250</v>
      </c>
      <c r="AF41" s="34">
        <v>1000</v>
      </c>
      <c r="AG41" s="17">
        <v>11</v>
      </c>
      <c r="AH41" s="34">
        <v>1500</v>
      </c>
      <c r="AI41" s="3">
        <v>6</v>
      </c>
      <c r="AJ41" s="3">
        <v>7</v>
      </c>
      <c r="AK41" s="3">
        <v>11</v>
      </c>
      <c r="AL41" s="3">
        <v>16</v>
      </c>
      <c r="AM41" s="3">
        <v>29</v>
      </c>
      <c r="AN41" s="3">
        <v>41</v>
      </c>
      <c r="AO41" s="3">
        <v>34</v>
      </c>
      <c r="AP41" s="3">
        <v>26</v>
      </c>
      <c r="AQ41" s="3">
        <v>17</v>
      </c>
    </row>
    <row r="42" spans="1:48" ht="15.75" customHeight="1">
      <c r="A42" s="31"/>
      <c r="B42" s="9"/>
      <c r="C42" s="31"/>
      <c r="D42" s="31"/>
      <c r="E42" s="31"/>
      <c r="F42" s="31"/>
      <c r="G42" s="31"/>
      <c r="H42" s="31"/>
      <c r="I42" s="31"/>
      <c r="J42" s="31"/>
      <c r="L42" s="30" t="s">
        <v>43</v>
      </c>
      <c r="AA42" s="45" t="s">
        <v>64</v>
      </c>
      <c r="AB42" s="46"/>
      <c r="AC42" s="47"/>
      <c r="AD42" s="3" t="s">
        <v>16</v>
      </c>
      <c r="AE42" s="34">
        <v>250</v>
      </c>
      <c r="AF42" s="34">
        <v>1500</v>
      </c>
      <c r="AG42" s="17">
        <v>17</v>
      </c>
      <c r="AH42" s="34">
        <v>2380</v>
      </c>
      <c r="AI42" s="3">
        <v>8</v>
      </c>
      <c r="AJ42" s="3">
        <v>8</v>
      </c>
      <c r="AK42" s="3">
        <v>15</v>
      </c>
      <c r="AL42" s="3">
        <v>23</v>
      </c>
      <c r="AM42" s="3">
        <v>41</v>
      </c>
      <c r="AN42" s="3">
        <v>43</v>
      </c>
      <c r="AO42" s="3">
        <v>37</v>
      </c>
      <c r="AP42" s="3">
        <v>31</v>
      </c>
      <c r="AQ42" s="3">
        <v>23</v>
      </c>
      <c r="AS42" s="68" t="s">
        <v>118</v>
      </c>
      <c r="AT42" s="68"/>
      <c r="AU42" s="68"/>
      <c r="AV42" s="68"/>
    </row>
    <row r="43" spans="1:48" ht="15.75" customHeight="1">
      <c r="A43" s="73" t="s">
        <v>96</v>
      </c>
      <c r="B43" s="73"/>
      <c r="C43" s="73"/>
      <c r="D43" s="73"/>
      <c r="E43" s="73"/>
      <c r="F43" s="73"/>
      <c r="G43" s="73"/>
      <c r="H43" s="73"/>
      <c r="I43" s="73"/>
      <c r="J43" s="73"/>
      <c r="K43" s="73"/>
      <c r="L43" s="73"/>
      <c r="N43" s="73" t="s">
        <v>93</v>
      </c>
      <c r="O43" s="73"/>
      <c r="P43" s="73"/>
      <c r="Q43" s="73"/>
      <c r="R43" s="73"/>
      <c r="S43" s="73"/>
      <c r="T43" s="73"/>
      <c r="U43" s="73"/>
      <c r="V43" s="73"/>
      <c r="W43" s="73"/>
      <c r="X43" s="73"/>
      <c r="Y43" s="73"/>
      <c r="AA43" s="45" t="s">
        <v>65</v>
      </c>
      <c r="AB43" s="46"/>
      <c r="AC43" s="47"/>
      <c r="AD43" s="3" t="s">
        <v>16</v>
      </c>
      <c r="AE43" s="34">
        <v>250</v>
      </c>
      <c r="AF43" s="34">
        <v>2000</v>
      </c>
      <c r="AG43" s="17">
        <v>26</v>
      </c>
      <c r="AH43" s="34">
        <v>2970</v>
      </c>
      <c r="AI43" s="3">
        <v>9</v>
      </c>
      <c r="AJ43" s="3">
        <v>11</v>
      </c>
      <c r="AK43" s="3">
        <v>18</v>
      </c>
      <c r="AL43" s="3">
        <v>28</v>
      </c>
      <c r="AM43" s="3">
        <v>42</v>
      </c>
      <c r="AN43" s="3">
        <v>47</v>
      </c>
      <c r="AO43" s="3">
        <v>43</v>
      </c>
      <c r="AP43" s="3">
        <v>36</v>
      </c>
      <c r="AQ43" s="3">
        <v>27</v>
      </c>
      <c r="AS43" s="38" t="str">
        <f>IF(ISERR(DGET(AA37:AQ61,"Označení tlumiče",AS37:AU38)),"Atypický rozměr",IF(MOD(B14,500)&gt;0,"Atypický rozměr",CONCATENATE(DGET(AA37:AQ61,"Označení tlumiče",AS37:AU38),AV43)))</f>
        <v>G200x500x2000.1</v>
      </c>
      <c r="AT43" s="39"/>
      <c r="AU43" s="40"/>
      <c r="AV43" s="41" t="str">
        <f>IF(AND(B18=0.1,B19=0.7),".1",IF(AND(B18=1,B19=1),".3",".2"))</f>
        <v>.1</v>
      </c>
    </row>
    <row r="44" spans="1:48" ht="15.75" customHeight="1">
      <c r="A44" s="44" t="s">
        <v>8</v>
      </c>
      <c r="B44" s="3" t="s">
        <v>136</v>
      </c>
      <c r="C44" s="3">
        <v>31.5</v>
      </c>
      <c r="D44" s="3">
        <v>63</v>
      </c>
      <c r="E44" s="3">
        <v>125</v>
      </c>
      <c r="F44" s="3">
        <v>250</v>
      </c>
      <c r="G44" s="3">
        <v>500</v>
      </c>
      <c r="H44" s="3">
        <v>1000</v>
      </c>
      <c r="I44" s="3">
        <v>2000</v>
      </c>
      <c r="J44" s="3">
        <v>4000</v>
      </c>
      <c r="K44" s="3">
        <v>8000</v>
      </c>
      <c r="L44" s="3" t="s">
        <v>95</v>
      </c>
      <c r="N44" s="69" t="s">
        <v>123</v>
      </c>
      <c r="O44" s="69"/>
      <c r="P44" s="69"/>
      <c r="Q44" s="95" t="str">
        <f>IF($L$37=0,"",CONCATENATE(B13," x ",B14," - ",B15))</f>
        <v>1600 x 1000 - 2000</v>
      </c>
      <c r="R44" s="95"/>
      <c r="S44" s="95"/>
      <c r="T44" s="69" t="s">
        <v>98</v>
      </c>
      <c r="U44" s="69"/>
      <c r="V44" s="69"/>
      <c r="W44" s="93">
        <f>IF(OR($L$37=0,$Q$45="Atypický rozměr"),"Zašlete poptávku",($B$13*$B$14*$B$15)/($B$17*500*$B$15))</f>
        <v>16</v>
      </c>
      <c r="X44" s="93"/>
      <c r="Y44" s="93"/>
      <c r="AA44" s="45" t="s">
        <v>66</v>
      </c>
      <c r="AB44" s="46"/>
      <c r="AC44" s="47"/>
      <c r="AD44" s="3" t="s">
        <v>16</v>
      </c>
      <c r="AE44" s="34">
        <v>300</v>
      </c>
      <c r="AF44" s="34">
        <v>2000</v>
      </c>
      <c r="AG44" s="17">
        <v>31</v>
      </c>
      <c r="AH44" s="34">
        <v>3175</v>
      </c>
      <c r="AI44" s="3">
        <v>9</v>
      </c>
      <c r="AJ44" s="3">
        <v>10</v>
      </c>
      <c r="AK44" s="3">
        <v>18</v>
      </c>
      <c r="AL44" s="3">
        <v>34</v>
      </c>
      <c r="AM44" s="3">
        <v>44</v>
      </c>
      <c r="AN44" s="3">
        <v>50</v>
      </c>
      <c r="AO44" s="3">
        <v>47</v>
      </c>
      <c r="AP44" s="3">
        <v>42</v>
      </c>
      <c r="AQ44" s="3">
        <v>30</v>
      </c>
    </row>
    <row r="45" spans="1:48" ht="15.75" customHeight="1">
      <c r="A45" s="44" t="s">
        <v>49</v>
      </c>
      <c r="B45" s="3" t="s">
        <v>132</v>
      </c>
      <c r="C45" s="20">
        <f>IF(OR($L$37=0,$K$13=0),"",AC28)</f>
        <v>8</v>
      </c>
      <c r="D45" s="20">
        <f t="shared" ref="D45:K45" si="13">IF(OR($L$37=0,$K$13=0),"",AD28)</f>
        <v>9</v>
      </c>
      <c r="E45" s="20">
        <f t="shared" si="13"/>
        <v>15</v>
      </c>
      <c r="F45" s="20">
        <f t="shared" si="13"/>
        <v>28</v>
      </c>
      <c r="G45" s="20">
        <f t="shared" si="13"/>
        <v>43</v>
      </c>
      <c r="H45" s="20">
        <f t="shared" si="13"/>
        <v>48</v>
      </c>
      <c r="I45" s="20">
        <f t="shared" si="13"/>
        <v>46</v>
      </c>
      <c r="J45" s="20">
        <f t="shared" si="13"/>
        <v>40</v>
      </c>
      <c r="K45" s="20">
        <f t="shared" si="13"/>
        <v>30</v>
      </c>
      <c r="L45" s="3" t="s">
        <v>135</v>
      </c>
      <c r="N45" s="97" t="s">
        <v>116</v>
      </c>
      <c r="O45" s="98"/>
      <c r="P45" s="99"/>
      <c r="Q45" s="96" t="str">
        <f>IF($L$37=0,"",$AS$43)</f>
        <v>G200x500x2000.1</v>
      </c>
      <c r="R45" s="96"/>
      <c r="S45" s="96"/>
      <c r="T45" s="69" t="s">
        <v>122</v>
      </c>
      <c r="U45" s="69"/>
      <c r="V45" s="69"/>
      <c r="W45" s="94">
        <f>IF(OR($L$37=0,$Q$45="Atypický rozměr"),"Zašlete poptávku",$W$44*$L$46)</f>
        <v>384</v>
      </c>
      <c r="X45" s="94"/>
      <c r="Y45" s="94"/>
      <c r="AA45" s="45" t="s">
        <v>67</v>
      </c>
      <c r="AB45" s="46"/>
      <c r="AC45" s="47"/>
      <c r="AD45" s="3" t="s">
        <v>16</v>
      </c>
      <c r="AE45" s="34">
        <v>400</v>
      </c>
      <c r="AF45" s="34">
        <v>2000</v>
      </c>
      <c r="AG45" s="17">
        <v>34</v>
      </c>
      <c r="AH45" s="34">
        <v>4005</v>
      </c>
      <c r="AI45" s="3">
        <v>8</v>
      </c>
      <c r="AJ45" s="3">
        <v>9</v>
      </c>
      <c r="AK45" s="3">
        <v>19</v>
      </c>
      <c r="AL45" s="3">
        <v>28</v>
      </c>
      <c r="AM45" s="3">
        <v>36</v>
      </c>
      <c r="AN45" s="3">
        <v>43</v>
      </c>
      <c r="AO45" s="3">
        <v>35</v>
      </c>
      <c r="AP45" s="3">
        <v>25</v>
      </c>
      <c r="AQ45" s="3">
        <v>15</v>
      </c>
      <c r="AS45" s="68" t="s">
        <v>125</v>
      </c>
      <c r="AT45" s="68"/>
      <c r="AU45" s="68"/>
      <c r="AV45" s="68"/>
    </row>
    <row r="46" spans="1:48" ht="15.75" customHeight="1">
      <c r="A46" s="44" t="s">
        <v>94</v>
      </c>
      <c r="B46" s="3" t="s">
        <v>132</v>
      </c>
      <c r="C46" s="32">
        <f>IF(C45="","",7)</f>
        <v>7</v>
      </c>
      <c r="D46" s="32">
        <f>IF(D45="","",6)</f>
        <v>6</v>
      </c>
      <c r="E46" s="32">
        <f>IF(E45="","",4)</f>
        <v>4</v>
      </c>
      <c r="F46" s="32">
        <f t="shared" ref="F46:J46" si="14">IF(F45="","",4)</f>
        <v>4</v>
      </c>
      <c r="G46" s="32">
        <f t="shared" si="14"/>
        <v>4</v>
      </c>
      <c r="H46" s="32">
        <f t="shared" si="14"/>
        <v>4</v>
      </c>
      <c r="I46" s="32">
        <f t="shared" si="14"/>
        <v>4</v>
      </c>
      <c r="J46" s="32">
        <f t="shared" si="14"/>
        <v>4</v>
      </c>
      <c r="K46" s="32">
        <f>IF(K45="","",7)</f>
        <v>7</v>
      </c>
      <c r="L46" s="18">
        <f>IF($L$37=0,"",$AV$38)</f>
        <v>24</v>
      </c>
      <c r="N46" s="69" t="s">
        <v>150</v>
      </c>
      <c r="O46" s="69"/>
      <c r="P46" s="69"/>
      <c r="Q46" s="69"/>
      <c r="R46" s="69"/>
      <c r="S46" s="69"/>
      <c r="T46" s="69"/>
      <c r="U46" s="69"/>
      <c r="V46" s="69"/>
      <c r="W46" s="92">
        <f>IF($W$44="Zašlete poptávku","Zašlete poptávku",$W$44*$AS$46)</f>
        <v>44240</v>
      </c>
      <c r="X46" s="92"/>
      <c r="Y46" s="92"/>
      <c r="AA46" s="45" t="s">
        <v>68</v>
      </c>
      <c r="AB46" s="46"/>
      <c r="AC46" s="47"/>
      <c r="AD46" s="3" t="s">
        <v>16</v>
      </c>
      <c r="AE46" s="34">
        <v>500</v>
      </c>
      <c r="AF46" s="34">
        <v>2000</v>
      </c>
      <c r="AG46" s="17">
        <v>36</v>
      </c>
      <c r="AH46" s="34">
        <v>4515</v>
      </c>
      <c r="AI46" s="3">
        <v>9</v>
      </c>
      <c r="AJ46" s="3">
        <v>11</v>
      </c>
      <c r="AK46" s="3">
        <v>20</v>
      </c>
      <c r="AL46" s="3">
        <v>30</v>
      </c>
      <c r="AM46" s="3">
        <v>34</v>
      </c>
      <c r="AN46" s="3">
        <v>36</v>
      </c>
      <c r="AO46" s="3">
        <v>30</v>
      </c>
      <c r="AP46" s="3">
        <v>22</v>
      </c>
      <c r="AQ46" s="3">
        <v>13</v>
      </c>
      <c r="AS46" s="3">
        <f>IF(AS43="Atypický rozměr","",DGET(AA37:AQ61,"Cena",AS37:AU38))</f>
        <v>2765</v>
      </c>
      <c r="AT46" s="3" t="s">
        <v>137</v>
      </c>
    </row>
    <row r="47" spans="1:48" ht="15.75" customHeight="1">
      <c r="AA47" s="45" t="s">
        <v>69</v>
      </c>
      <c r="AB47" s="46"/>
      <c r="AC47" s="47"/>
      <c r="AD47" s="3" t="s">
        <v>75</v>
      </c>
      <c r="AE47" s="34">
        <v>200</v>
      </c>
      <c r="AF47" s="34">
        <v>1000</v>
      </c>
      <c r="AG47" s="17">
        <v>7.3</v>
      </c>
      <c r="AH47" s="34">
        <v>1035</v>
      </c>
      <c r="AI47" s="3">
        <v>5</v>
      </c>
      <c r="AJ47" s="3">
        <v>5</v>
      </c>
      <c r="AK47" s="3">
        <v>8</v>
      </c>
      <c r="AL47" s="3">
        <v>14</v>
      </c>
      <c r="AM47" s="3">
        <v>24</v>
      </c>
      <c r="AN47" s="3">
        <v>40</v>
      </c>
      <c r="AO47" s="3">
        <v>36</v>
      </c>
      <c r="AP47" s="3">
        <v>29</v>
      </c>
      <c r="AQ47" s="3">
        <v>20</v>
      </c>
    </row>
    <row r="48" spans="1:48" ht="15.75" customHeight="1">
      <c r="A48" s="33"/>
      <c r="AA48" s="45" t="s">
        <v>70</v>
      </c>
      <c r="AB48" s="46"/>
      <c r="AC48" s="47"/>
      <c r="AD48" s="3" t="s">
        <v>75</v>
      </c>
      <c r="AE48" s="34">
        <v>200</v>
      </c>
      <c r="AF48" s="34">
        <v>1500</v>
      </c>
      <c r="AG48" s="17">
        <v>10.8</v>
      </c>
      <c r="AH48" s="34">
        <v>1720</v>
      </c>
      <c r="AI48" s="3">
        <v>6</v>
      </c>
      <c r="AJ48" s="3">
        <v>6</v>
      </c>
      <c r="AK48" s="3">
        <v>11</v>
      </c>
      <c r="AL48" s="3">
        <v>19</v>
      </c>
      <c r="AM48" s="3">
        <v>32</v>
      </c>
      <c r="AN48" s="3">
        <v>42</v>
      </c>
      <c r="AO48" s="3">
        <v>39</v>
      </c>
      <c r="AP48" s="3">
        <v>35</v>
      </c>
      <c r="AQ48" s="3">
        <v>24</v>
      </c>
    </row>
    <row r="49" spans="27:43" ht="15.75" customHeight="1">
      <c r="AA49" s="45" t="s">
        <v>71</v>
      </c>
      <c r="AB49" s="46"/>
      <c r="AC49" s="47"/>
      <c r="AD49" s="3" t="s">
        <v>75</v>
      </c>
      <c r="AE49" s="34">
        <v>250</v>
      </c>
      <c r="AF49" s="34">
        <v>1000</v>
      </c>
      <c r="AG49" s="17">
        <v>8.6</v>
      </c>
      <c r="AH49" s="34">
        <v>1115</v>
      </c>
      <c r="AI49" s="3">
        <v>6</v>
      </c>
      <c r="AJ49" s="3">
        <v>7</v>
      </c>
      <c r="AK49" s="3">
        <v>11</v>
      </c>
      <c r="AL49" s="3">
        <v>16</v>
      </c>
      <c r="AM49" s="3">
        <v>29</v>
      </c>
      <c r="AN49" s="3">
        <v>45</v>
      </c>
      <c r="AO49" s="3">
        <v>40</v>
      </c>
      <c r="AP49" s="3">
        <v>32</v>
      </c>
      <c r="AQ49" s="3">
        <v>23</v>
      </c>
    </row>
    <row r="50" spans="27:43" ht="15.75" customHeight="1">
      <c r="AA50" s="45" t="s">
        <v>72</v>
      </c>
      <c r="AB50" s="46"/>
      <c r="AC50" s="47"/>
      <c r="AD50" s="3" t="s">
        <v>75</v>
      </c>
      <c r="AE50" s="34">
        <v>250</v>
      </c>
      <c r="AF50" s="34">
        <v>1500</v>
      </c>
      <c r="AG50" s="17">
        <v>12.8</v>
      </c>
      <c r="AH50" s="34">
        <v>1920</v>
      </c>
      <c r="AI50" s="3">
        <v>8</v>
      </c>
      <c r="AJ50" s="3">
        <v>8</v>
      </c>
      <c r="AK50" s="3">
        <v>15</v>
      </c>
      <c r="AL50" s="3">
        <v>23</v>
      </c>
      <c r="AM50" s="3">
        <v>41</v>
      </c>
      <c r="AN50" s="3">
        <v>46</v>
      </c>
      <c r="AO50" s="3">
        <v>43</v>
      </c>
      <c r="AP50" s="3">
        <v>38</v>
      </c>
      <c r="AQ50" s="3">
        <v>28</v>
      </c>
    </row>
    <row r="51" spans="27:43" ht="15.75" customHeight="1">
      <c r="AA51" s="45" t="s">
        <v>73</v>
      </c>
      <c r="AB51" s="46"/>
      <c r="AC51" s="47"/>
      <c r="AD51" s="3" t="s">
        <v>75</v>
      </c>
      <c r="AE51" s="34">
        <v>300</v>
      </c>
      <c r="AF51" s="34">
        <v>1000</v>
      </c>
      <c r="AG51" s="17">
        <v>11.8</v>
      </c>
      <c r="AH51" s="34">
        <v>1180</v>
      </c>
      <c r="AI51" s="3">
        <v>7</v>
      </c>
      <c r="AJ51" s="3">
        <v>8</v>
      </c>
      <c r="AK51" s="3">
        <v>12</v>
      </c>
      <c r="AL51" s="3">
        <v>19</v>
      </c>
      <c r="AM51" s="3">
        <v>34</v>
      </c>
      <c r="AN51" s="3">
        <v>46</v>
      </c>
      <c r="AO51" s="3">
        <v>41</v>
      </c>
      <c r="AP51" s="3">
        <v>31</v>
      </c>
      <c r="AQ51" s="3">
        <v>20</v>
      </c>
    </row>
    <row r="52" spans="27:43" ht="15.75" customHeight="1">
      <c r="AA52" s="45" t="s">
        <v>74</v>
      </c>
      <c r="AB52" s="46"/>
      <c r="AC52" s="47"/>
      <c r="AD52" s="3" t="s">
        <v>75</v>
      </c>
      <c r="AE52" s="34">
        <v>300</v>
      </c>
      <c r="AF52" s="34">
        <v>1500</v>
      </c>
      <c r="AG52" s="17">
        <v>16.5</v>
      </c>
      <c r="AH52" s="34">
        <v>2120</v>
      </c>
      <c r="AI52" s="3">
        <v>8</v>
      </c>
      <c r="AJ52" s="3">
        <v>9</v>
      </c>
      <c r="AK52" s="3">
        <v>17</v>
      </c>
      <c r="AL52" s="3">
        <v>27</v>
      </c>
      <c r="AM52" s="3">
        <v>40</v>
      </c>
      <c r="AN52" s="3">
        <v>49</v>
      </c>
      <c r="AO52" s="3">
        <v>47</v>
      </c>
      <c r="AP52" s="3">
        <v>39</v>
      </c>
      <c r="AQ52" s="3">
        <v>22</v>
      </c>
    </row>
    <row r="53" spans="27:43" ht="15.75" customHeight="1">
      <c r="AA53" s="45" t="s">
        <v>83</v>
      </c>
      <c r="AB53" s="46"/>
      <c r="AC53" s="47"/>
      <c r="AD53" s="3" t="s">
        <v>117</v>
      </c>
      <c r="AE53" s="34">
        <v>200</v>
      </c>
      <c r="AF53" s="34">
        <v>1000</v>
      </c>
      <c r="AG53" s="17">
        <v>10</v>
      </c>
      <c r="AH53" s="34">
        <v>1585</v>
      </c>
      <c r="AI53" s="3">
        <v>6</v>
      </c>
      <c r="AJ53" s="3">
        <v>6</v>
      </c>
      <c r="AK53" s="3">
        <v>9</v>
      </c>
      <c r="AL53" s="3">
        <v>15</v>
      </c>
      <c r="AM53" s="3">
        <v>26</v>
      </c>
      <c r="AN53" s="3">
        <v>28</v>
      </c>
      <c r="AO53" s="3">
        <v>24</v>
      </c>
      <c r="AP53" s="3">
        <v>18</v>
      </c>
      <c r="AQ53" s="3">
        <v>10</v>
      </c>
    </row>
    <row r="54" spans="27:43" ht="15.75" customHeight="1">
      <c r="AA54" s="45" t="s">
        <v>84</v>
      </c>
      <c r="AB54" s="46"/>
      <c r="AC54" s="47"/>
      <c r="AD54" s="3" t="s">
        <v>117</v>
      </c>
      <c r="AE54" s="34">
        <v>200</v>
      </c>
      <c r="AF54" s="34">
        <v>1500</v>
      </c>
      <c r="AG54" s="17">
        <v>15</v>
      </c>
      <c r="AH54" s="34">
        <v>2450</v>
      </c>
      <c r="AI54" s="3">
        <v>7</v>
      </c>
      <c r="AJ54" s="3">
        <v>7</v>
      </c>
      <c r="AK54" s="3">
        <v>12</v>
      </c>
      <c r="AL54" s="3">
        <v>21</v>
      </c>
      <c r="AM54" s="3">
        <v>30</v>
      </c>
      <c r="AN54" s="3">
        <v>33</v>
      </c>
      <c r="AO54" s="3">
        <v>30</v>
      </c>
      <c r="AP54" s="3">
        <v>20</v>
      </c>
      <c r="AQ54" s="3">
        <v>12</v>
      </c>
    </row>
    <row r="55" spans="27:43" ht="15.75" customHeight="1">
      <c r="AA55" s="45" t="s">
        <v>85</v>
      </c>
      <c r="AB55" s="46"/>
      <c r="AC55" s="47"/>
      <c r="AD55" s="3" t="s">
        <v>117</v>
      </c>
      <c r="AE55" s="34">
        <v>200</v>
      </c>
      <c r="AF55" s="34">
        <v>2000</v>
      </c>
      <c r="AG55" s="17">
        <v>24</v>
      </c>
      <c r="AH55" s="34">
        <v>3110</v>
      </c>
      <c r="AI55" s="3">
        <v>8</v>
      </c>
      <c r="AJ55" s="3">
        <v>9</v>
      </c>
      <c r="AK55" s="3">
        <v>15</v>
      </c>
      <c r="AL55" s="3">
        <v>28</v>
      </c>
      <c r="AM55" s="3">
        <v>36</v>
      </c>
      <c r="AN55" s="3">
        <v>40</v>
      </c>
      <c r="AO55" s="3">
        <v>37</v>
      </c>
      <c r="AP55" s="3">
        <v>28</v>
      </c>
      <c r="AQ55" s="3">
        <v>20</v>
      </c>
    </row>
    <row r="56" spans="27:43" ht="15.75" customHeight="1">
      <c r="AA56" s="45" t="s">
        <v>86</v>
      </c>
      <c r="AB56" s="46"/>
      <c r="AC56" s="47"/>
      <c r="AD56" s="3" t="s">
        <v>117</v>
      </c>
      <c r="AE56" s="34">
        <v>250</v>
      </c>
      <c r="AF56" s="34">
        <v>1000</v>
      </c>
      <c r="AG56" s="17">
        <v>11</v>
      </c>
      <c r="AH56" s="34">
        <v>1685</v>
      </c>
      <c r="AI56" s="3">
        <v>6</v>
      </c>
      <c r="AJ56" s="3">
        <v>7</v>
      </c>
      <c r="AK56" s="3">
        <v>11</v>
      </c>
      <c r="AL56" s="3">
        <v>16</v>
      </c>
      <c r="AM56" s="3">
        <v>25</v>
      </c>
      <c r="AN56" s="3">
        <v>27</v>
      </c>
      <c r="AO56" s="3">
        <v>23</v>
      </c>
      <c r="AP56" s="3">
        <v>17</v>
      </c>
      <c r="AQ56" s="3">
        <v>9</v>
      </c>
    </row>
    <row r="57" spans="27:43" ht="15.75" customHeight="1">
      <c r="AA57" s="45" t="s">
        <v>87</v>
      </c>
      <c r="AB57" s="46"/>
      <c r="AC57" s="47"/>
      <c r="AD57" s="3" t="s">
        <v>117</v>
      </c>
      <c r="AE57" s="34">
        <v>250</v>
      </c>
      <c r="AF57" s="34">
        <v>1500</v>
      </c>
      <c r="AG57" s="17">
        <v>17</v>
      </c>
      <c r="AH57" s="34">
        <v>2640</v>
      </c>
      <c r="AI57" s="3">
        <v>8</v>
      </c>
      <c r="AJ57" s="3">
        <v>8</v>
      </c>
      <c r="AK57" s="3">
        <v>15</v>
      </c>
      <c r="AL57" s="3">
        <v>23</v>
      </c>
      <c r="AM57" s="3">
        <v>30</v>
      </c>
      <c r="AN57" s="3">
        <v>32</v>
      </c>
      <c r="AO57" s="3">
        <v>29</v>
      </c>
      <c r="AP57" s="3">
        <v>21</v>
      </c>
      <c r="AQ57" s="3">
        <v>11</v>
      </c>
    </row>
    <row r="58" spans="27:43" ht="15.75" customHeight="1">
      <c r="AA58" s="45" t="s">
        <v>88</v>
      </c>
      <c r="AB58" s="46"/>
      <c r="AC58" s="47"/>
      <c r="AD58" s="3" t="s">
        <v>117</v>
      </c>
      <c r="AE58" s="34">
        <v>250</v>
      </c>
      <c r="AF58" s="34">
        <v>2000</v>
      </c>
      <c r="AG58" s="17">
        <v>26</v>
      </c>
      <c r="AH58" s="34">
        <v>3310</v>
      </c>
      <c r="AI58" s="3">
        <v>9</v>
      </c>
      <c r="AJ58" s="3">
        <v>11</v>
      </c>
      <c r="AK58" s="3">
        <v>18</v>
      </c>
      <c r="AL58" s="3">
        <v>28</v>
      </c>
      <c r="AM58" s="3">
        <v>35</v>
      </c>
      <c r="AN58" s="3">
        <v>38</v>
      </c>
      <c r="AO58" s="3">
        <v>34</v>
      </c>
      <c r="AP58" s="3">
        <v>26</v>
      </c>
      <c r="AQ58" s="3">
        <v>17</v>
      </c>
    </row>
    <row r="59" spans="27:43" ht="15.75" customHeight="1">
      <c r="AA59" s="45" t="s">
        <v>89</v>
      </c>
      <c r="AB59" s="46"/>
      <c r="AC59" s="47"/>
      <c r="AD59" s="3" t="s">
        <v>117</v>
      </c>
      <c r="AE59" s="34">
        <v>300</v>
      </c>
      <c r="AF59" s="34">
        <v>2000</v>
      </c>
      <c r="AG59" s="17">
        <v>31</v>
      </c>
      <c r="AH59" s="34">
        <v>3515</v>
      </c>
      <c r="AI59" s="3">
        <v>9</v>
      </c>
      <c r="AJ59" s="3">
        <v>10</v>
      </c>
      <c r="AK59" s="3">
        <v>18</v>
      </c>
      <c r="AL59" s="3">
        <v>32</v>
      </c>
      <c r="AM59" s="3">
        <v>38</v>
      </c>
      <c r="AN59" s="3">
        <v>39</v>
      </c>
      <c r="AO59" s="3">
        <v>37</v>
      </c>
      <c r="AP59" s="3">
        <v>32</v>
      </c>
      <c r="AQ59" s="3">
        <v>25</v>
      </c>
    </row>
    <row r="60" spans="27:43" ht="15.75" customHeight="1">
      <c r="AA60" s="45" t="s">
        <v>90</v>
      </c>
      <c r="AB60" s="46"/>
      <c r="AC60" s="47"/>
      <c r="AD60" s="3" t="s">
        <v>117</v>
      </c>
      <c r="AE60" s="34">
        <v>400</v>
      </c>
      <c r="AF60" s="34">
        <v>2000</v>
      </c>
      <c r="AG60" s="17">
        <v>34</v>
      </c>
      <c r="AH60" s="34">
        <v>4345</v>
      </c>
      <c r="AI60" s="3">
        <v>8</v>
      </c>
      <c r="AJ60" s="3">
        <v>9</v>
      </c>
      <c r="AK60" s="3">
        <v>19</v>
      </c>
      <c r="AL60" s="3">
        <v>28</v>
      </c>
      <c r="AM60" s="3">
        <v>36</v>
      </c>
      <c r="AN60" s="3">
        <v>38</v>
      </c>
      <c r="AO60" s="3">
        <v>32</v>
      </c>
      <c r="AP60" s="3">
        <v>25</v>
      </c>
      <c r="AQ60" s="3">
        <v>17</v>
      </c>
    </row>
    <row r="61" spans="27:43" ht="15.75" customHeight="1">
      <c r="AA61" s="69" t="s">
        <v>91</v>
      </c>
      <c r="AB61" s="69"/>
      <c r="AC61" s="69"/>
      <c r="AD61" s="3" t="s">
        <v>117</v>
      </c>
      <c r="AE61" s="34">
        <v>500</v>
      </c>
      <c r="AF61" s="34">
        <v>2000</v>
      </c>
      <c r="AG61" s="17">
        <v>36</v>
      </c>
      <c r="AH61" s="34">
        <v>4870</v>
      </c>
      <c r="AI61" s="3">
        <v>9</v>
      </c>
      <c r="AJ61" s="3">
        <v>11</v>
      </c>
      <c r="AK61" s="3">
        <v>20</v>
      </c>
      <c r="AL61" s="3">
        <v>30</v>
      </c>
      <c r="AM61" s="3">
        <v>34</v>
      </c>
      <c r="AN61" s="3">
        <v>36</v>
      </c>
      <c r="AO61" s="3">
        <v>30</v>
      </c>
      <c r="AP61" s="3">
        <v>22</v>
      </c>
      <c r="AQ61" s="3">
        <v>13</v>
      </c>
    </row>
    <row r="62" spans="27:43" ht="15.75" customHeight="1"/>
    <row r="63" spans="27:43" ht="15.75" customHeight="1"/>
    <row r="64" spans="27:4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sheetData>
  <sheetProtection algorithmName="SHA-512" hashValue="hXq5siDULLVhJcuv8UpCvUfHVDGsRWnYLPzqhlcvMrUKQMSRZVa1A8FjbxGL5ht1VMszfWvUqrge1KaCclSrJg==" saltValue="7+wfMjhBcTmbslFYFKVCbQ==" spinCount="100000" sheet="1" objects="1" scenarios="1"/>
  <mergeCells count="86">
    <mergeCell ref="Q44:S44"/>
    <mergeCell ref="Q45:S45"/>
    <mergeCell ref="N44:P44"/>
    <mergeCell ref="N45:P45"/>
    <mergeCell ref="N46:V46"/>
    <mergeCell ref="W46:Y46"/>
    <mergeCell ref="T44:V44"/>
    <mergeCell ref="T45:V45"/>
    <mergeCell ref="W44:Y44"/>
    <mergeCell ref="W45:Y45"/>
    <mergeCell ref="B21:C21"/>
    <mergeCell ref="E12:K12"/>
    <mergeCell ref="E14:K14"/>
    <mergeCell ref="B13:C13"/>
    <mergeCell ref="E17:K17"/>
    <mergeCell ref="E18:K18"/>
    <mergeCell ref="E19:K19"/>
    <mergeCell ref="B18:C18"/>
    <mergeCell ref="B19:C19"/>
    <mergeCell ref="B14:C14"/>
    <mergeCell ref="B15:C15"/>
    <mergeCell ref="B16:C16"/>
    <mergeCell ref="B17:C17"/>
    <mergeCell ref="E21:K21"/>
    <mergeCell ref="N1:Y1"/>
    <mergeCell ref="A7:L7"/>
    <mergeCell ref="A8:L8"/>
    <mergeCell ref="E13:J13"/>
    <mergeCell ref="B20:C20"/>
    <mergeCell ref="K11:L11"/>
    <mergeCell ref="B12:C12"/>
    <mergeCell ref="A5:L6"/>
    <mergeCell ref="N10:Q10"/>
    <mergeCell ref="R10:X10"/>
    <mergeCell ref="A10:C10"/>
    <mergeCell ref="D10:L10"/>
    <mergeCell ref="E15:K15"/>
    <mergeCell ref="E16:K16"/>
    <mergeCell ref="E22:K22"/>
    <mergeCell ref="A39:L39"/>
    <mergeCell ref="B26:C26"/>
    <mergeCell ref="B24:C24"/>
    <mergeCell ref="B25:C25"/>
    <mergeCell ref="B27:C27"/>
    <mergeCell ref="B37:C37"/>
    <mergeCell ref="E33:K33"/>
    <mergeCell ref="E34:K34"/>
    <mergeCell ref="B22:C22"/>
    <mergeCell ref="E35:K35"/>
    <mergeCell ref="B35:C35"/>
    <mergeCell ref="B36:C36"/>
    <mergeCell ref="E23:K23"/>
    <mergeCell ref="E24:K24"/>
    <mergeCell ref="E32:K32"/>
    <mergeCell ref="B23:C23"/>
    <mergeCell ref="B28:C28"/>
    <mergeCell ref="B29:C29"/>
    <mergeCell ref="E25:K25"/>
    <mergeCell ref="E26:K26"/>
    <mergeCell ref="A43:L43"/>
    <mergeCell ref="N43:Y43"/>
    <mergeCell ref="N19:Y19"/>
    <mergeCell ref="E36:K36"/>
    <mergeCell ref="E37:K37"/>
    <mergeCell ref="E27:K27"/>
    <mergeCell ref="E28:K28"/>
    <mergeCell ref="E29:K29"/>
    <mergeCell ref="E30:K30"/>
    <mergeCell ref="E31:K31"/>
    <mergeCell ref="B30:C30"/>
    <mergeCell ref="B31:C31"/>
    <mergeCell ref="B32:C32"/>
    <mergeCell ref="B33:C33"/>
    <mergeCell ref="E20:K20"/>
    <mergeCell ref="B34:C34"/>
    <mergeCell ref="AS42:AV42"/>
    <mergeCell ref="AS45:AV45"/>
    <mergeCell ref="AA61:AC61"/>
    <mergeCell ref="AA1:AM2"/>
    <mergeCell ref="AA4:AC4"/>
    <mergeCell ref="AE4:AG4"/>
    <mergeCell ref="AA20:AC20"/>
    <mergeCell ref="AA24:AC24"/>
    <mergeCell ref="AA37:AC37"/>
    <mergeCell ref="AA36:AC36"/>
    <mergeCell ref="AS36:AV36"/>
  </mergeCells>
  <phoneticPr fontId="1" type="noConversion"/>
  <conditionalFormatting sqref="A7">
    <cfRule type="cellIs" dxfId="16" priority="17" operator="notEqual">
      <formula>"Zadejte název projektu"</formula>
    </cfRule>
  </conditionalFormatting>
  <conditionalFormatting sqref="A8">
    <cfRule type="cellIs" dxfId="15" priority="16" operator="notEqual">
      <formula>"Zadejte název tlumiče"</formula>
    </cfRule>
  </conditionalFormatting>
  <conditionalFormatting sqref="B27:C27">
    <cfRule type="expression" dxfId="14" priority="15">
      <formula>IF(AND($B$27&gt;25,$L$37&lt;&gt;0),1,0)</formula>
    </cfRule>
  </conditionalFormatting>
  <conditionalFormatting sqref="B12:C12">
    <cfRule type="expression" dxfId="13" priority="14">
      <formula>$L$12=0</formula>
    </cfRule>
  </conditionalFormatting>
  <conditionalFormatting sqref="E27:K27">
    <cfRule type="expression" dxfId="12" priority="13">
      <formula>IF(AND($B$27&gt;25,$L$37&lt;&gt;0),1,0)</formula>
    </cfRule>
  </conditionalFormatting>
  <conditionalFormatting sqref="B13:C13">
    <cfRule type="expression" dxfId="11" priority="12">
      <formula>$L$13=0</formula>
    </cfRule>
  </conditionalFormatting>
  <conditionalFormatting sqref="B14:C14">
    <cfRule type="expression" dxfId="10" priority="11">
      <formula>$L$14=0</formula>
    </cfRule>
  </conditionalFormatting>
  <conditionalFormatting sqref="B15:C15">
    <cfRule type="expression" dxfId="9" priority="10">
      <formula>$L$15=0</formula>
    </cfRule>
  </conditionalFormatting>
  <conditionalFormatting sqref="B16:C16">
    <cfRule type="expression" dxfId="8" priority="9">
      <formula>$L$16=0</formula>
    </cfRule>
  </conditionalFormatting>
  <conditionalFormatting sqref="B17:C17">
    <cfRule type="expression" dxfId="7" priority="8">
      <formula>$L$17=0</formula>
    </cfRule>
  </conditionalFormatting>
  <conditionalFormatting sqref="B18:C18">
    <cfRule type="expression" dxfId="6" priority="7">
      <formula>$L$18=0</formula>
    </cfRule>
  </conditionalFormatting>
  <conditionalFormatting sqref="B19:C19">
    <cfRule type="expression" dxfId="5" priority="6">
      <formula>$L$19=0</formula>
    </cfRule>
  </conditionalFormatting>
  <conditionalFormatting sqref="B20:C20">
    <cfRule type="expression" dxfId="4" priority="5">
      <formula>$L$20=0</formula>
    </cfRule>
  </conditionalFormatting>
  <conditionalFormatting sqref="B21:C21">
    <cfRule type="expression" dxfId="3" priority="4">
      <formula>$L$21=0</formula>
    </cfRule>
  </conditionalFormatting>
  <conditionalFormatting sqref="B22:C22">
    <cfRule type="expression" dxfId="2" priority="3">
      <formula>$L$22=0</formula>
    </cfRule>
  </conditionalFormatting>
  <conditionalFormatting sqref="A7:L7">
    <cfRule type="expression" dxfId="1" priority="2">
      <formula>IF($A$7="Zadejte název projektu",0,1)</formula>
    </cfRule>
  </conditionalFormatting>
  <conditionalFormatting sqref="A8:L8">
    <cfRule type="expression" dxfId="0" priority="1">
      <formula>IF($A$8="Zadejte název tlumiče",0,1)</formula>
    </cfRule>
  </conditionalFormatting>
  <printOptions horizontalCentered="1"/>
  <pageMargins left="0.59055118110236227" right="0.39370078740157483" top="0.78740157480314965" bottom="0.78740157480314965" header="0.51181102362204722" footer="0.51181102362204722"/>
  <pageSetup paperSize="9" pageOrder="overThenDown" orientation="portrait" verticalDpi="98" r:id="rId1"/>
  <headerFooter>
    <oddFooter xml:space="preserve">&amp;LQ199-01, revize 1.0 © Greif-akustika, s.r.o.&amp;R&amp;D | List &amp;P/&amp;N    </oddFooter>
  </headerFooter>
  <colBreaks count="1" manualBreakCount="1">
    <brk id="13" max="4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98AB9593FC0DE4E9A3BA627B9537930" ma:contentTypeVersion="9" ma:contentTypeDescription="Vytvoří nový dokument" ma:contentTypeScope="" ma:versionID="adf41e47109a23f265c60497cca65cee">
  <xsd:schema xmlns:xsd="http://www.w3.org/2001/XMLSchema" xmlns:xs="http://www.w3.org/2001/XMLSchema" xmlns:p="http://schemas.microsoft.com/office/2006/metadata/properties" xmlns:ns2="4666b6d6-0b49-4b4e-be26-41110ebc0a22" xmlns:ns3="684e4a05-d515-485c-ae00-2cb9bcdd9f7d" targetNamespace="http://schemas.microsoft.com/office/2006/metadata/properties" ma:root="true" ma:fieldsID="946a90ea18e57bfd4917b98e3ca313ac" ns2:_="" ns3:_="">
    <xsd:import namespace="4666b6d6-0b49-4b4e-be26-41110ebc0a22"/>
    <xsd:import namespace="684e4a05-d515-485c-ae00-2cb9bcdd9f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66b6d6-0b49-4b4e-be26-41110ebc0a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4e4a05-d515-485c-ae00-2cb9bcdd9f7d"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3E5FE2-4A32-4F49-A539-71FD90509E64}"/>
</file>

<file path=customXml/itemProps2.xml><?xml version="1.0" encoding="utf-8"?>
<ds:datastoreItem xmlns:ds="http://schemas.openxmlformats.org/officeDocument/2006/customXml" ds:itemID="{9D76B142-F1A1-4BE2-86FE-0D11C9341B16}"/>
</file>

<file path=customXml/itemProps3.xml><?xml version="1.0" encoding="utf-8"?>
<ds:datastoreItem xmlns:ds="http://schemas.openxmlformats.org/officeDocument/2006/customXml" ds:itemID="{FE2BA47D-2384-4B4E-85CC-515A4C19622A}"/>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INFO</vt:lpstr>
      <vt:lpstr>TLU-01</vt:lpstr>
      <vt:lpstr>'TLU-01'!Oblast_tisku</vt:lpstr>
    </vt:vector>
  </TitlesOfParts>
  <Manager>Ing. Ladislav Mička</Manager>
  <Company>Greif-akustika,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Návrh buňkových tlumičů GREIF</dc:title>
  <dc:subject>ITS101-01, ITS102-01, ITS103-01</dc:subject>
  <dc:creator>Ing. Ladislav Mička</dc:creator>
  <cp:keywords>Q199-01</cp:keywords>
  <dc:description>Návrhový SW společnosti Greif-akustika, s.r.o.
Kontakt na autora: micka@greif.cz.
© Greif-akustika, s.r.o.; Všechna práva vyhrazena.</dc:description>
  <cp:lastModifiedBy>Ladislav Mička</cp:lastModifiedBy>
  <cp:lastPrinted>2018-07-02T12:40:07Z</cp:lastPrinted>
  <dcterms:created xsi:type="dcterms:W3CDTF">1997-01-24T11:07:25Z</dcterms:created>
  <dcterms:modified xsi:type="dcterms:W3CDTF">2021-06-04T06:54:16Z</dcterms:modified>
  <cp:category>Šablona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Číslo dokumentu">
    <vt:lpwstr>Q130-02</vt:lpwstr>
  </property>
  <property fmtid="{D5CDD505-2E9C-101B-9397-08002B2CF9AE}" pid="3" name="ContentTypeId">
    <vt:lpwstr>0x010100A98AB9593FC0DE4E9A3BA627B9537930</vt:lpwstr>
  </property>
</Properties>
</file>