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4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8.xml" ContentType="application/vnd.ms-excel.person+xml"/>
  <Override PartName="/xl/persons/person7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codeName="ThisWorkbook"/>
  <xr:revisionPtr revIDLastSave="0" documentId="8_{E36F3B61-7A2F-492E-8541-DA29721C443F}" xr6:coauthVersionLast="47" xr6:coauthVersionMax="47" xr10:uidLastSave="{00000000-0000-0000-0000-000000000000}"/>
  <bookViews>
    <workbookView xWindow="2010" yWindow="690" windowWidth="33960" windowHeight="19455" tabRatio="778" xr2:uid="{00000000-000D-0000-FFFF-FFFF00000000}"/>
  </bookViews>
  <sheets>
    <sheet name="Obsah" sheetId="14" r:id="rId1"/>
    <sheet name="Buňky G-GE-GH" sheetId="1" r:id="rId2"/>
    <sheet name="Kulisy GKK" sheetId="4" r:id="rId3"/>
    <sheet name="Kulisy GKD" sheetId="6" r:id="rId4"/>
    <sheet name="Kulisy GKDH" sheetId="7" r:id="rId5"/>
    <sheet name="Kruhové tlumiče GD" sheetId="8" r:id="rId6"/>
    <sheet name="Kruhové tlumiče GDE" sheetId="9" r:id="rId7"/>
    <sheet name="Tlumiče výfuku GV" sheetId="10" r:id="rId8"/>
    <sheet name="Akustické materiály" sheetId="11" r:id="rId9"/>
    <sheet name="Akustické kryty GAK" sheetId="12" r:id="rId10"/>
    <sheet name="Protihlukové digestoře GPHD" sheetId="13" r:id="rId11"/>
    <sheet name="Přeslechové tlumiče GKP" sheetId="15" r:id="rId12"/>
  </sheets>
  <definedNames>
    <definedName name="_xlnm.Print_Area" localSheetId="9">'Akustické kryty GAK'!$A$1:$J$50</definedName>
    <definedName name="_xlnm.Print_Area" localSheetId="8">'Akustické materiály'!$A$1:$J$50</definedName>
    <definedName name="_xlnm.Print_Area" localSheetId="1">'Buňky G-GE-GH'!$A$1:$J$50</definedName>
    <definedName name="_xlnm.Print_Area" localSheetId="5">'Kruhové tlumiče GD'!$A$1:$J$150</definedName>
    <definedName name="_xlnm.Print_Area" localSheetId="6">'Kruhové tlumiče GDE'!$A$1:$J$150</definedName>
    <definedName name="_xlnm.Print_Area" localSheetId="3">'Kulisy GKD'!$A$1:$J$150</definedName>
    <definedName name="_xlnm.Print_Area" localSheetId="4">'Kulisy GKDH'!$A$1:$J$150</definedName>
    <definedName name="_xlnm.Print_Area" localSheetId="2">'Kulisy GKK'!$A$1:$J$150</definedName>
    <definedName name="_xlnm.Print_Area" localSheetId="0">Obsah!$A$1:$J$56</definedName>
    <definedName name="_xlnm.Print_Area" localSheetId="10">'Protihlukové digestoře GPHD'!$A$1:$J$50</definedName>
    <definedName name="_xlnm.Print_Area" localSheetId="11">'Přeslechové tlumiče GKP'!$A$1:$J$50</definedName>
    <definedName name="_xlnm.Print_Area" localSheetId="7">'Tlumiče výfuku GV'!$A$1:$J$50</definedName>
  </definedNames>
  <calcPr calcId="191029"/>
</workbook>
</file>

<file path=xl/calcChain.xml><?xml version="1.0" encoding="utf-8"?>
<calcChain xmlns="http://schemas.openxmlformats.org/spreadsheetml/2006/main">
  <c r="I2" i="6" l="1"/>
  <c r="I4" i="8"/>
  <c r="I4" i="1"/>
  <c r="I4" i="15"/>
  <c r="I4" i="13"/>
  <c r="I4" i="12"/>
  <c r="G24" i="12" s="1"/>
  <c r="I4" i="11"/>
  <c r="G44" i="11" s="1"/>
  <c r="G26" i="11"/>
  <c r="G25" i="11"/>
  <c r="G24" i="11"/>
  <c r="G17" i="11"/>
  <c r="G16" i="11"/>
  <c r="I4" i="10"/>
  <c r="G32" i="10" s="1"/>
  <c r="I4" i="9"/>
  <c r="I8" i="7"/>
  <c r="I4" i="6"/>
  <c r="I4" i="4"/>
  <c r="G19" i="10"/>
  <c r="I2" i="7"/>
  <c r="G45" i="11" l="1"/>
  <c r="G14" i="11"/>
  <c r="G15" i="11"/>
  <c r="G15" i="12"/>
  <c r="G18" i="12"/>
  <c r="G21" i="12"/>
  <c r="G18" i="11"/>
  <c r="G31" i="11"/>
  <c r="G19" i="11"/>
  <c r="G36" i="11"/>
  <c r="G20" i="11"/>
  <c r="G37" i="11"/>
  <c r="G21" i="11"/>
  <c r="G38" i="11"/>
  <c r="G12" i="11"/>
  <c r="G22" i="11"/>
  <c r="G43" i="11"/>
  <c r="G13" i="11"/>
  <c r="G23" i="11"/>
  <c r="G32" i="12"/>
  <c r="G33" i="12"/>
  <c r="I2" i="15"/>
  <c r="G31" i="15" l="1"/>
  <c r="G30" i="15"/>
  <c r="G19" i="15"/>
  <c r="J4" i="15"/>
  <c r="G12" i="15" l="1"/>
  <c r="I12" i="15" s="1"/>
  <c r="G27" i="15"/>
  <c r="I27" i="15" s="1"/>
  <c r="G23" i="15"/>
  <c r="I23" i="15" s="1"/>
  <c r="G15" i="15"/>
  <c r="I15" i="15" s="1"/>
  <c r="G16" i="15"/>
  <c r="I16" i="15" s="1"/>
  <c r="G20" i="15"/>
  <c r="G24" i="15"/>
  <c r="I24" i="15" s="1"/>
  <c r="G28" i="15"/>
  <c r="I28" i="15" s="1"/>
  <c r="G13" i="15"/>
  <c r="I13" i="15" s="1"/>
  <c r="G17" i="15"/>
  <c r="I17" i="15" s="1"/>
  <c r="G21" i="15"/>
  <c r="I21" i="15" s="1"/>
  <c r="G25" i="15"/>
  <c r="I25" i="15" s="1"/>
  <c r="G29" i="15"/>
  <c r="I29" i="15" s="1"/>
  <c r="G14" i="15"/>
  <c r="I14" i="15" s="1"/>
  <c r="G18" i="15"/>
  <c r="I18" i="15" s="1"/>
  <c r="G22" i="15"/>
  <c r="I22" i="15" s="1"/>
  <c r="G26" i="15"/>
  <c r="I26" i="15" s="1"/>
  <c r="J36" i="15"/>
  <c r="J37" i="15" s="1"/>
  <c r="G36" i="15"/>
  <c r="G37" i="15" s="1"/>
  <c r="J42" i="15"/>
  <c r="J43" i="15" s="1"/>
  <c r="I19" i="15"/>
  <c r="H36" i="15"/>
  <c r="H37" i="15" s="1"/>
  <c r="G42" i="15"/>
  <c r="G43" i="15" s="1"/>
  <c r="F36" i="15"/>
  <c r="F37" i="15" s="1"/>
  <c r="I42" i="15"/>
  <c r="I43" i="15" s="1"/>
  <c r="F42" i="15"/>
  <c r="F43" i="15" s="1"/>
  <c r="I31" i="15"/>
  <c r="I36" i="15"/>
  <c r="I37" i="15" s="1"/>
  <c r="H42" i="15"/>
  <c r="H43" i="15" s="1"/>
  <c r="I20" i="15"/>
  <c r="I30" i="15"/>
  <c r="I2" i="9"/>
  <c r="I102" i="9" s="1"/>
  <c r="I2" i="8"/>
  <c r="I52" i="8" s="1"/>
  <c r="I102" i="7"/>
  <c r="I102" i="6"/>
  <c r="I2" i="4"/>
  <c r="I102" i="4" s="1"/>
  <c r="I2" i="10"/>
  <c r="I2" i="11"/>
  <c r="I2" i="12"/>
  <c r="I2" i="13"/>
  <c r="G134" i="8"/>
  <c r="G83" i="8"/>
  <c r="I52" i="7" l="1"/>
  <c r="I52" i="4"/>
  <c r="I102" i="8"/>
  <c r="I52" i="6"/>
  <c r="I52" i="9"/>
  <c r="G84" i="8"/>
  <c r="G133" i="8"/>
  <c r="J4" i="12"/>
  <c r="G23" i="13"/>
  <c r="G22" i="13"/>
  <c r="G21" i="13"/>
  <c r="G20" i="13"/>
  <c r="G15" i="13"/>
  <c r="G14" i="13"/>
  <c r="G13" i="13"/>
  <c r="G12" i="13"/>
  <c r="G38" i="12"/>
  <c r="G31" i="12"/>
  <c r="G30" i="12"/>
  <c r="G12" i="12"/>
  <c r="G38" i="10"/>
  <c r="G37" i="10"/>
  <c r="G36" i="10"/>
  <c r="G35" i="10"/>
  <c r="G33" i="10"/>
  <c r="G31" i="10"/>
  <c r="G30" i="10"/>
  <c r="G25" i="10"/>
  <c r="G24" i="10"/>
  <c r="G23" i="10"/>
  <c r="G22" i="10"/>
  <c r="G20" i="10"/>
  <c r="G18" i="10"/>
  <c r="G17" i="10"/>
  <c r="G15" i="10"/>
  <c r="G14" i="10"/>
  <c r="G13" i="10"/>
  <c r="G12" i="10"/>
  <c r="I21" i="12" l="1"/>
  <c r="I32" i="12"/>
  <c r="G28" i="9"/>
  <c r="G27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32" i="8" l="1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32" i="7" l="1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38" i="6" l="1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41" i="1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43" i="1"/>
  <c r="G42" i="1"/>
  <c r="G39" i="1"/>
  <c r="G38" i="1"/>
  <c r="G35" i="1"/>
  <c r="G30" i="1"/>
  <c r="G28" i="1"/>
  <c r="G27" i="1"/>
  <c r="G26" i="1"/>
  <c r="G24" i="1"/>
  <c r="G23" i="1"/>
  <c r="G22" i="1"/>
  <c r="G16" i="1"/>
  <c r="G15" i="1"/>
  <c r="G14" i="1"/>
  <c r="G12" i="1"/>
  <c r="G40" i="1" l="1"/>
  <c r="G36" i="1"/>
  <c r="G13" i="1"/>
  <c r="G17" i="1"/>
  <c r="G25" i="1"/>
  <c r="G29" i="1"/>
  <c r="G37" i="1"/>
  <c r="J8" i="14"/>
  <c r="J4" i="13" l="1"/>
  <c r="I22" i="13" s="1"/>
  <c r="J4" i="11"/>
  <c r="I26" i="11" s="1"/>
  <c r="J4" i="10"/>
  <c r="I21" i="13" l="1"/>
  <c r="I20" i="13"/>
  <c r="I23" i="13"/>
  <c r="I13" i="13"/>
  <c r="I14" i="13"/>
  <c r="I12" i="13"/>
  <c r="I15" i="13"/>
  <c r="I33" i="12" l="1"/>
  <c r="I31" i="12"/>
  <c r="I30" i="12"/>
  <c r="I38" i="12"/>
  <c r="I24" i="12"/>
  <c r="I18" i="12"/>
  <c r="I15" i="12"/>
  <c r="I12" i="12"/>
  <c r="J58" i="9"/>
  <c r="J108" i="9"/>
  <c r="J4" i="9"/>
  <c r="J58" i="8"/>
  <c r="J108" i="8"/>
  <c r="J4" i="8"/>
  <c r="J108" i="7"/>
  <c r="J58" i="7"/>
  <c r="J8" i="7"/>
  <c r="J108" i="6"/>
  <c r="J58" i="6"/>
  <c r="J4" i="6"/>
  <c r="J108" i="4"/>
  <c r="J58" i="4"/>
  <c r="J4" i="4"/>
  <c r="I94" i="9" l="1"/>
  <c r="E94" i="9"/>
  <c r="I92" i="9"/>
  <c r="E92" i="9"/>
  <c r="I90" i="9"/>
  <c r="E90" i="9"/>
  <c r="I77" i="9"/>
  <c r="I73" i="9"/>
  <c r="I69" i="9"/>
  <c r="I65" i="9"/>
  <c r="H94" i="9"/>
  <c r="D94" i="9"/>
  <c r="H92" i="9"/>
  <c r="D92" i="9"/>
  <c r="H90" i="9"/>
  <c r="D90" i="9"/>
  <c r="I76" i="9"/>
  <c r="I72" i="9"/>
  <c r="I68" i="9"/>
  <c r="I64" i="9"/>
  <c r="G94" i="9"/>
  <c r="C94" i="9"/>
  <c r="G92" i="9"/>
  <c r="C92" i="9"/>
  <c r="G90" i="9"/>
  <c r="C90" i="9"/>
  <c r="I75" i="9"/>
  <c r="I71" i="9"/>
  <c r="I67" i="9"/>
  <c r="I63" i="9"/>
  <c r="F94" i="9"/>
  <c r="J92" i="9"/>
  <c r="F92" i="9"/>
  <c r="J90" i="9"/>
  <c r="F90" i="9"/>
  <c r="I78" i="9"/>
  <c r="I74" i="9"/>
  <c r="I70" i="9"/>
  <c r="I66" i="9"/>
  <c r="I62" i="9"/>
  <c r="E142" i="9"/>
  <c r="H144" i="9"/>
  <c r="D144" i="9"/>
  <c r="H142" i="9"/>
  <c r="D142" i="9"/>
  <c r="H140" i="9"/>
  <c r="D140" i="9"/>
  <c r="I126" i="9"/>
  <c r="I122" i="9"/>
  <c r="I118" i="9"/>
  <c r="I114" i="9"/>
  <c r="I123" i="9"/>
  <c r="G144" i="9"/>
  <c r="C144" i="9"/>
  <c r="G142" i="9"/>
  <c r="C142" i="9"/>
  <c r="G140" i="9"/>
  <c r="C140" i="9"/>
  <c r="I125" i="9"/>
  <c r="I121" i="9"/>
  <c r="I117" i="9"/>
  <c r="I113" i="9"/>
  <c r="I144" i="9"/>
  <c r="I142" i="9"/>
  <c r="E140" i="9"/>
  <c r="I119" i="9"/>
  <c r="F144" i="9"/>
  <c r="J142" i="9"/>
  <c r="F142" i="9"/>
  <c r="J140" i="9"/>
  <c r="F140" i="9"/>
  <c r="I128" i="9"/>
  <c r="I124" i="9"/>
  <c r="I120" i="9"/>
  <c r="I116" i="9"/>
  <c r="I112" i="9"/>
  <c r="E144" i="9"/>
  <c r="I140" i="9"/>
  <c r="I127" i="9"/>
  <c r="I115" i="9"/>
  <c r="I94" i="8"/>
  <c r="E94" i="8"/>
  <c r="I92" i="8"/>
  <c r="E92" i="8"/>
  <c r="I90" i="8"/>
  <c r="E90" i="8"/>
  <c r="I83" i="8"/>
  <c r="I79" i="8"/>
  <c r="I75" i="8"/>
  <c r="I71" i="8"/>
  <c r="I67" i="8"/>
  <c r="I63" i="8"/>
  <c r="I70" i="8"/>
  <c r="I62" i="8"/>
  <c r="G94" i="8"/>
  <c r="G92" i="8"/>
  <c r="C92" i="8"/>
  <c r="G90" i="8"/>
  <c r="I81" i="8"/>
  <c r="I73" i="8"/>
  <c r="I65" i="8"/>
  <c r="J92" i="8"/>
  <c r="J90" i="8"/>
  <c r="I84" i="8"/>
  <c r="I76" i="8"/>
  <c r="I68" i="8"/>
  <c r="H94" i="8"/>
  <c r="D94" i="8"/>
  <c r="H92" i="8"/>
  <c r="D92" i="8"/>
  <c r="H90" i="8"/>
  <c r="D90" i="8"/>
  <c r="I82" i="8"/>
  <c r="I78" i="8"/>
  <c r="I74" i="8"/>
  <c r="I66" i="8"/>
  <c r="C94" i="8"/>
  <c r="C90" i="8"/>
  <c r="I77" i="8"/>
  <c r="I69" i="8"/>
  <c r="F94" i="8"/>
  <c r="F92" i="8"/>
  <c r="F90" i="8"/>
  <c r="I80" i="8"/>
  <c r="I72" i="8"/>
  <c r="I64" i="8"/>
  <c r="I144" i="8"/>
  <c r="E144" i="8"/>
  <c r="I142" i="8"/>
  <c r="E142" i="8"/>
  <c r="I140" i="8"/>
  <c r="E140" i="8"/>
  <c r="I133" i="8"/>
  <c r="I129" i="8"/>
  <c r="I125" i="8"/>
  <c r="I121" i="8"/>
  <c r="I117" i="8"/>
  <c r="I113" i="8"/>
  <c r="H144" i="8"/>
  <c r="D144" i="8"/>
  <c r="H142" i="8"/>
  <c r="D142" i="8"/>
  <c r="H140" i="8"/>
  <c r="D140" i="8"/>
  <c r="I132" i="8"/>
  <c r="I128" i="8"/>
  <c r="I124" i="8"/>
  <c r="I120" i="8"/>
  <c r="I116" i="8"/>
  <c r="I112" i="8"/>
  <c r="G144" i="8"/>
  <c r="C144" i="8"/>
  <c r="G142" i="8"/>
  <c r="C142" i="8"/>
  <c r="G140" i="8"/>
  <c r="C140" i="8"/>
  <c r="I131" i="8"/>
  <c r="I127" i="8"/>
  <c r="I123" i="8"/>
  <c r="I119" i="8"/>
  <c r="I115" i="8"/>
  <c r="F144" i="8"/>
  <c r="J142" i="8"/>
  <c r="F142" i="8"/>
  <c r="J140" i="8"/>
  <c r="F140" i="8"/>
  <c r="I134" i="8"/>
  <c r="I130" i="8"/>
  <c r="I126" i="8"/>
  <c r="I122" i="8"/>
  <c r="I118" i="8"/>
  <c r="I114" i="8"/>
  <c r="J94" i="7"/>
  <c r="F94" i="7"/>
  <c r="J93" i="7"/>
  <c r="F93" i="7"/>
  <c r="I94" i="7"/>
  <c r="E94" i="7"/>
  <c r="I93" i="7"/>
  <c r="E93" i="7"/>
  <c r="H94" i="7"/>
  <c r="D94" i="7"/>
  <c r="H93" i="7"/>
  <c r="D93" i="7"/>
  <c r="G94" i="7"/>
  <c r="C94" i="7"/>
  <c r="G93" i="7"/>
  <c r="C93" i="7"/>
  <c r="J144" i="7"/>
  <c r="F144" i="7"/>
  <c r="J143" i="7"/>
  <c r="F143" i="7"/>
  <c r="I144" i="7"/>
  <c r="E144" i="7"/>
  <c r="I143" i="7"/>
  <c r="E143" i="7"/>
  <c r="H144" i="7"/>
  <c r="D144" i="7"/>
  <c r="H143" i="7"/>
  <c r="D143" i="7"/>
  <c r="G144" i="7"/>
  <c r="C144" i="7"/>
  <c r="G143" i="7"/>
  <c r="C143" i="7"/>
  <c r="J94" i="6"/>
  <c r="F94" i="6"/>
  <c r="J93" i="6"/>
  <c r="F93" i="6"/>
  <c r="I94" i="6"/>
  <c r="E94" i="6"/>
  <c r="I93" i="6"/>
  <c r="E93" i="6"/>
  <c r="H94" i="6"/>
  <c r="D94" i="6"/>
  <c r="H93" i="6"/>
  <c r="D93" i="6"/>
  <c r="G94" i="6"/>
  <c r="C94" i="6"/>
  <c r="G93" i="6"/>
  <c r="C93" i="6"/>
  <c r="J144" i="6"/>
  <c r="F144" i="6"/>
  <c r="J143" i="6"/>
  <c r="F143" i="6"/>
  <c r="I144" i="6"/>
  <c r="E144" i="6"/>
  <c r="I143" i="6"/>
  <c r="E143" i="6"/>
  <c r="H144" i="6"/>
  <c r="D144" i="6"/>
  <c r="H143" i="6"/>
  <c r="D143" i="6"/>
  <c r="G144" i="6"/>
  <c r="C144" i="6"/>
  <c r="G143" i="6"/>
  <c r="C143" i="6"/>
  <c r="J144" i="4"/>
  <c r="F144" i="4"/>
  <c r="J143" i="4"/>
  <c r="F143" i="4"/>
  <c r="I144" i="4"/>
  <c r="E144" i="4"/>
  <c r="I143" i="4"/>
  <c r="E143" i="4"/>
  <c r="H144" i="4"/>
  <c r="D144" i="4"/>
  <c r="H143" i="4"/>
  <c r="D143" i="4"/>
  <c r="G144" i="4"/>
  <c r="C144" i="4"/>
  <c r="G143" i="4"/>
  <c r="C143" i="4"/>
  <c r="J94" i="4"/>
  <c r="F94" i="4"/>
  <c r="J93" i="4"/>
  <c r="F93" i="4"/>
  <c r="I94" i="4"/>
  <c r="E94" i="4"/>
  <c r="I93" i="4"/>
  <c r="E93" i="4"/>
  <c r="H94" i="4"/>
  <c r="D94" i="4"/>
  <c r="H93" i="4"/>
  <c r="D93" i="4"/>
  <c r="G94" i="4"/>
  <c r="C94" i="4"/>
  <c r="G93" i="4"/>
  <c r="C93" i="4"/>
  <c r="I44" i="8"/>
  <c r="E44" i="8"/>
  <c r="I42" i="8"/>
  <c r="E42" i="8"/>
  <c r="I40" i="8"/>
  <c r="E40" i="8"/>
  <c r="I33" i="8"/>
  <c r="H44" i="8"/>
  <c r="D44" i="8"/>
  <c r="H42" i="8"/>
  <c r="D42" i="8"/>
  <c r="D40" i="8"/>
  <c r="G44" i="8"/>
  <c r="G42" i="8"/>
  <c r="G40" i="8"/>
  <c r="F44" i="8"/>
  <c r="F42" i="8"/>
  <c r="F40" i="8"/>
  <c r="H40" i="8"/>
  <c r="C44" i="8"/>
  <c r="C42" i="8"/>
  <c r="C40" i="8"/>
  <c r="J42" i="8"/>
  <c r="J40" i="8"/>
  <c r="I34" i="8"/>
  <c r="J44" i="6"/>
  <c r="F44" i="6"/>
  <c r="I43" i="6"/>
  <c r="E43" i="6"/>
  <c r="C43" i="6"/>
  <c r="I44" i="6"/>
  <c r="D44" i="6"/>
  <c r="H43" i="6"/>
  <c r="H44" i="6"/>
  <c r="C44" i="6"/>
  <c r="G43" i="6"/>
  <c r="E44" i="6"/>
  <c r="G44" i="6"/>
  <c r="J43" i="6"/>
  <c r="F43" i="6"/>
  <c r="D43" i="6"/>
  <c r="I28" i="9"/>
  <c r="H44" i="9"/>
  <c r="D44" i="9"/>
  <c r="H42" i="9"/>
  <c r="D42" i="9"/>
  <c r="H40" i="9"/>
  <c r="D40" i="9"/>
  <c r="G44" i="9"/>
  <c r="C44" i="9"/>
  <c r="G42" i="9"/>
  <c r="C42" i="9"/>
  <c r="G40" i="9"/>
  <c r="C40" i="9"/>
  <c r="F44" i="9"/>
  <c r="J42" i="9"/>
  <c r="F42" i="9"/>
  <c r="J40" i="9"/>
  <c r="F40" i="9"/>
  <c r="I27" i="9"/>
  <c r="I44" i="9"/>
  <c r="E44" i="9"/>
  <c r="I42" i="9"/>
  <c r="E42" i="9"/>
  <c r="I40" i="9"/>
  <c r="E40" i="9"/>
  <c r="I44" i="7"/>
  <c r="E44" i="7"/>
  <c r="I43" i="7"/>
  <c r="E43" i="7"/>
  <c r="H44" i="7"/>
  <c r="D44" i="7"/>
  <c r="H43" i="7"/>
  <c r="D43" i="7"/>
  <c r="G44" i="7"/>
  <c r="C44" i="7"/>
  <c r="G43" i="7"/>
  <c r="J44" i="7"/>
  <c r="J43" i="7"/>
  <c r="F43" i="7"/>
  <c r="C43" i="7"/>
  <c r="F44" i="7"/>
  <c r="J44" i="4"/>
  <c r="F44" i="4"/>
  <c r="J43" i="4"/>
  <c r="F43" i="4"/>
  <c r="I44" i="4"/>
  <c r="E44" i="4"/>
  <c r="I43" i="4"/>
  <c r="E43" i="4"/>
  <c r="H44" i="4"/>
  <c r="D44" i="4"/>
  <c r="H43" i="4"/>
  <c r="G44" i="4"/>
  <c r="C44" i="4"/>
  <c r="G43" i="4"/>
  <c r="C43" i="4"/>
  <c r="D43" i="4"/>
  <c r="I23" i="11"/>
  <c r="I12" i="11"/>
  <c r="I18" i="7"/>
  <c r="I36" i="7"/>
  <c r="I27" i="7"/>
  <c r="I83" i="7"/>
  <c r="I77" i="7"/>
  <c r="I68" i="7"/>
  <c r="I86" i="7"/>
  <c r="I130" i="7"/>
  <c r="I123" i="7"/>
  <c r="I116" i="7"/>
  <c r="I25" i="9"/>
  <c r="I15" i="11"/>
  <c r="I19" i="11"/>
  <c r="I44" i="11"/>
  <c r="I36" i="11"/>
  <c r="I43" i="11"/>
  <c r="I31" i="11"/>
  <c r="I45" i="11"/>
  <c r="I38" i="11"/>
  <c r="I37" i="11"/>
  <c r="I88" i="4"/>
  <c r="I68" i="4"/>
  <c r="I86" i="4"/>
  <c r="I77" i="4"/>
  <c r="I13" i="7"/>
  <c r="I17" i="7"/>
  <c r="I23" i="7"/>
  <c r="I31" i="7"/>
  <c r="I35" i="7"/>
  <c r="I14" i="7"/>
  <c r="I26" i="7"/>
  <c r="I22" i="7"/>
  <c r="I32" i="7"/>
  <c r="I19" i="7"/>
  <c r="I28" i="7"/>
  <c r="I37" i="7"/>
  <c r="I17" i="6"/>
  <c r="I30" i="6"/>
  <c r="I19" i="6"/>
  <c r="I31" i="6"/>
  <c r="I12" i="6"/>
  <c r="I23" i="6"/>
  <c r="I35" i="6"/>
  <c r="I13" i="6"/>
  <c r="I25" i="6"/>
  <c r="I37" i="6"/>
  <c r="I18" i="6"/>
  <c r="I36" i="6"/>
  <c r="I27" i="6"/>
  <c r="I16" i="6"/>
  <c r="I22" i="6"/>
  <c r="I28" i="6"/>
  <c r="I34" i="6"/>
  <c r="I130" i="6"/>
  <c r="I123" i="6"/>
  <c r="I116" i="6"/>
  <c r="I77" i="6"/>
  <c r="I68" i="6"/>
  <c r="I86" i="6"/>
  <c r="I14" i="6"/>
  <c r="I21" i="6"/>
  <c r="I26" i="6"/>
  <c r="I32" i="6"/>
  <c r="I36" i="4"/>
  <c r="I18" i="4"/>
  <c r="I27" i="4"/>
  <c r="I38" i="4"/>
  <c r="I30" i="4"/>
  <c r="I31" i="4"/>
  <c r="I20" i="4"/>
  <c r="I24" i="4"/>
  <c r="I29" i="4"/>
  <c r="I15" i="4"/>
  <c r="I35" i="4"/>
  <c r="I129" i="4"/>
  <c r="I122" i="4"/>
  <c r="I115" i="4"/>
  <c r="I131" i="4"/>
  <c r="I117" i="4"/>
  <c r="I132" i="4"/>
  <c r="I128" i="4"/>
  <c r="I125" i="4"/>
  <c r="I121" i="4"/>
  <c r="I118" i="4"/>
  <c r="I114" i="4"/>
  <c r="I127" i="4"/>
  <c r="I120" i="4"/>
  <c r="I130" i="4"/>
  <c r="I126" i="4"/>
  <c r="I123" i="4"/>
  <c r="I119" i="4"/>
  <c r="I116" i="4"/>
  <c r="I112" i="4"/>
  <c r="I124" i="4"/>
  <c r="I113" i="4"/>
  <c r="I63" i="4"/>
  <c r="I76" i="4"/>
  <c r="I14" i="4"/>
  <c r="I19" i="4"/>
  <c r="I23" i="4"/>
  <c r="I28" i="4"/>
  <c r="I34" i="4"/>
  <c r="I62" i="4"/>
  <c r="I66" i="4"/>
  <c r="I71" i="4"/>
  <c r="I75" i="4"/>
  <c r="I80" i="4"/>
  <c r="I84" i="4"/>
  <c r="I72" i="4"/>
  <c r="I85" i="4"/>
  <c r="I12" i="4"/>
  <c r="I16" i="4"/>
  <c r="I21" i="4"/>
  <c r="I25" i="4"/>
  <c r="I32" i="4"/>
  <c r="I37" i="4"/>
  <c r="I64" i="4"/>
  <c r="I69" i="4"/>
  <c r="I73" i="4"/>
  <c r="I78" i="4"/>
  <c r="I82" i="4"/>
  <c r="I87" i="4"/>
  <c r="I67" i="4"/>
  <c r="I81" i="4"/>
  <c r="I13" i="4"/>
  <c r="I17" i="4"/>
  <c r="I22" i="4"/>
  <c r="I26" i="4"/>
  <c r="I33" i="4"/>
  <c r="I65" i="4"/>
  <c r="I70" i="4"/>
  <c r="I74" i="4"/>
  <c r="I79" i="4"/>
  <c r="I83" i="4"/>
  <c r="I38" i="10"/>
  <c r="I33" i="10"/>
  <c r="I37" i="10"/>
  <c r="I32" i="10"/>
  <c r="I36" i="10"/>
  <c r="I31" i="10"/>
  <c r="I35" i="10"/>
  <c r="I30" i="10"/>
  <c r="I14" i="10"/>
  <c r="I19" i="10"/>
  <c r="I24" i="10"/>
  <c r="I16" i="11"/>
  <c r="I20" i="11"/>
  <c r="I24" i="11"/>
  <c r="I13" i="11"/>
  <c r="I17" i="11"/>
  <c r="I21" i="11"/>
  <c r="I25" i="11"/>
  <c r="I14" i="11"/>
  <c r="I18" i="11"/>
  <c r="I22" i="11"/>
  <c r="I15" i="10"/>
  <c r="I20" i="10"/>
  <c r="I25" i="10"/>
  <c r="I12" i="10"/>
  <c r="I17" i="10"/>
  <c r="I22" i="10"/>
  <c r="I13" i="10"/>
  <c r="I18" i="10"/>
  <c r="I23" i="10"/>
  <c r="I12" i="9"/>
  <c r="I23" i="9"/>
  <c r="I14" i="9"/>
  <c r="I24" i="9"/>
  <c r="I18" i="9"/>
  <c r="I19" i="9"/>
  <c r="I16" i="9"/>
  <c r="I22" i="9"/>
  <c r="I15" i="9"/>
  <c r="I20" i="9"/>
  <c r="I13" i="9"/>
  <c r="I17" i="9"/>
  <c r="I21" i="9"/>
  <c r="I26" i="9"/>
  <c r="I18" i="8"/>
  <c r="I26" i="8"/>
  <c r="I13" i="8"/>
  <c r="I21" i="8"/>
  <c r="I29" i="8"/>
  <c r="I14" i="8"/>
  <c r="I22" i="8"/>
  <c r="I30" i="8"/>
  <c r="I17" i="8"/>
  <c r="I25" i="8"/>
  <c r="I15" i="8"/>
  <c r="I19" i="8"/>
  <c r="I23" i="8"/>
  <c r="I27" i="8"/>
  <c r="I31" i="8"/>
  <c r="I12" i="8"/>
  <c r="I16" i="8"/>
  <c r="I20" i="8"/>
  <c r="I24" i="8"/>
  <c r="I28" i="8"/>
  <c r="I32" i="8"/>
  <c r="I122" i="7"/>
  <c r="I115" i="7"/>
  <c r="I128" i="7"/>
  <c r="I121" i="7"/>
  <c r="I114" i="7"/>
  <c r="I132" i="7"/>
  <c r="I127" i="7"/>
  <c r="I125" i="7"/>
  <c r="I120" i="7"/>
  <c r="I118" i="7"/>
  <c r="I113" i="7"/>
  <c r="I131" i="7"/>
  <c r="I126" i="7"/>
  <c r="I124" i="7"/>
  <c r="I119" i="7"/>
  <c r="I117" i="7"/>
  <c r="I112" i="7"/>
  <c r="I129" i="7"/>
  <c r="I65" i="7"/>
  <c r="I74" i="7"/>
  <c r="I62" i="7"/>
  <c r="I66" i="7"/>
  <c r="I71" i="7"/>
  <c r="I75" i="7"/>
  <c r="I80" i="7"/>
  <c r="I84" i="7"/>
  <c r="I15" i="7"/>
  <c r="I20" i="7"/>
  <c r="I24" i="7"/>
  <c r="I29" i="7"/>
  <c r="I33" i="7"/>
  <c r="I38" i="7"/>
  <c r="I63" i="7"/>
  <c r="I67" i="7"/>
  <c r="I72" i="7"/>
  <c r="I76" i="7"/>
  <c r="I81" i="7"/>
  <c r="I85" i="7"/>
  <c r="I12" i="7"/>
  <c r="I16" i="7"/>
  <c r="I21" i="7"/>
  <c r="I25" i="7"/>
  <c r="I30" i="7"/>
  <c r="I34" i="7"/>
  <c r="I64" i="7"/>
  <c r="I69" i="7"/>
  <c r="I73" i="7"/>
  <c r="I78" i="7"/>
  <c r="I82" i="7"/>
  <c r="I87" i="7"/>
  <c r="I70" i="7"/>
  <c r="I79" i="7"/>
  <c r="I88" i="7"/>
  <c r="I132" i="6"/>
  <c r="I127" i="6"/>
  <c r="I125" i="6"/>
  <c r="I120" i="6"/>
  <c r="I118" i="6"/>
  <c r="I113" i="6"/>
  <c r="I131" i="6"/>
  <c r="I126" i="6"/>
  <c r="I124" i="6"/>
  <c r="I119" i="6"/>
  <c r="I117" i="6"/>
  <c r="I112" i="6"/>
  <c r="I129" i="6"/>
  <c r="I122" i="6"/>
  <c r="I115" i="6"/>
  <c r="I128" i="6"/>
  <c r="I121" i="6"/>
  <c r="I114" i="6"/>
  <c r="I85" i="6"/>
  <c r="I81" i="6"/>
  <c r="I76" i="6"/>
  <c r="I72" i="6"/>
  <c r="I67" i="6"/>
  <c r="I63" i="6"/>
  <c r="I84" i="6"/>
  <c r="I80" i="6"/>
  <c r="I75" i="6"/>
  <c r="I71" i="6"/>
  <c r="I66" i="6"/>
  <c r="I62" i="6"/>
  <c r="I88" i="6"/>
  <c r="I83" i="6"/>
  <c r="I79" i="6"/>
  <c r="I74" i="6"/>
  <c r="I70" i="6"/>
  <c r="I65" i="6"/>
  <c r="I87" i="6"/>
  <c r="I82" i="6"/>
  <c r="I78" i="6"/>
  <c r="I73" i="6"/>
  <c r="I69" i="6"/>
  <c r="I64" i="6"/>
  <c r="I15" i="6"/>
  <c r="I20" i="6"/>
  <c r="I24" i="6"/>
  <c r="I29" i="6"/>
  <c r="I33" i="6"/>
  <c r="I38" i="6"/>
  <c r="J4" i="1"/>
  <c r="D95" i="6" l="1"/>
  <c r="F95" i="6"/>
  <c r="F45" i="6"/>
  <c r="H95" i="6"/>
  <c r="J95" i="6"/>
  <c r="H45" i="6"/>
  <c r="E145" i="6"/>
  <c r="C95" i="7"/>
  <c r="C145" i="7"/>
  <c r="D45" i="7"/>
  <c r="D95" i="7"/>
  <c r="D145" i="7"/>
  <c r="E45" i="7"/>
  <c r="E95" i="7"/>
  <c r="E145" i="7"/>
  <c r="G45" i="6"/>
  <c r="G145" i="6"/>
  <c r="H145" i="6"/>
  <c r="I145" i="6"/>
  <c r="F95" i="7"/>
  <c r="C45" i="7"/>
  <c r="J95" i="7"/>
  <c r="J45" i="6"/>
  <c r="G45" i="7"/>
  <c r="G95" i="7"/>
  <c r="F145" i="6"/>
  <c r="G145" i="7"/>
  <c r="H45" i="7"/>
  <c r="H95" i="7"/>
  <c r="H145" i="7"/>
  <c r="I45" i="7"/>
  <c r="I95" i="7"/>
  <c r="I145" i="7"/>
  <c r="I45" i="6"/>
  <c r="J145" i="6"/>
  <c r="F145" i="7"/>
  <c r="J45" i="7"/>
  <c r="J145" i="7"/>
  <c r="D45" i="6"/>
  <c r="E45" i="6"/>
  <c r="C95" i="6"/>
  <c r="E95" i="6"/>
  <c r="C145" i="6"/>
  <c r="D145" i="6"/>
  <c r="G95" i="6"/>
  <c r="F45" i="7"/>
  <c r="C45" i="6"/>
  <c r="I95" i="6"/>
  <c r="E95" i="4"/>
  <c r="C45" i="4"/>
  <c r="D95" i="4"/>
  <c r="E45" i="4"/>
  <c r="F45" i="4"/>
  <c r="C95" i="4"/>
  <c r="J95" i="4"/>
  <c r="D45" i="4"/>
  <c r="G145" i="4"/>
  <c r="F95" i="4"/>
  <c r="H145" i="4"/>
  <c r="G95" i="4"/>
  <c r="G45" i="4"/>
  <c r="H95" i="4"/>
  <c r="I145" i="4"/>
  <c r="I95" i="4"/>
  <c r="I45" i="4"/>
  <c r="J145" i="4"/>
  <c r="J45" i="4"/>
  <c r="E145" i="4"/>
  <c r="F145" i="4"/>
  <c r="C145" i="4"/>
  <c r="H45" i="4"/>
  <c r="D145" i="4"/>
  <c r="I15" i="1"/>
  <c r="I43" i="1"/>
  <c r="I39" i="1"/>
  <c r="I35" i="1"/>
  <c r="I27" i="1"/>
  <c r="I23" i="1"/>
  <c r="I14" i="1"/>
  <c r="I42" i="1"/>
  <c r="I38" i="1"/>
  <c r="I30" i="1"/>
  <c r="I26" i="1"/>
  <c r="I22" i="1"/>
  <c r="I17" i="1"/>
  <c r="I13" i="1"/>
  <c r="I41" i="1"/>
  <c r="I37" i="1"/>
  <c r="I29" i="1"/>
  <c r="I25" i="1"/>
  <c r="I16" i="1"/>
  <c r="I12" i="1"/>
  <c r="I40" i="1"/>
  <c r="I36" i="1"/>
  <c r="I28" i="1"/>
  <c r="I24" i="1"/>
</calcChain>
</file>

<file path=xl/sharedStrings.xml><?xml version="1.0" encoding="utf-8"?>
<sst xmlns="http://schemas.openxmlformats.org/spreadsheetml/2006/main" count="971" uniqueCount="273">
  <si>
    <t>Ceník buňkových tlumičů hluku</t>
  </si>
  <si>
    <t>Tlumiče hluku s děrovaným plechem - typ G</t>
  </si>
  <si>
    <t>zadejte váš rabat</t>
  </si>
  <si>
    <t>ITS102-01</t>
  </si>
  <si>
    <t>Typ tlumiče</t>
  </si>
  <si>
    <t>G200x500x1000 (stěna 60 mm)</t>
  </si>
  <si>
    <t>G250x500x1000 (stěna 80 mm)</t>
  </si>
  <si>
    <t>G200x500x1500 (stěna 60 mm)</t>
  </si>
  <si>
    <t>G250x500x1500 (stěna 80 mm)</t>
  </si>
  <si>
    <t>G200x500x2000 (stěna 60 mm)</t>
  </si>
  <si>
    <t>G250x500x2000 (stěna 80 mm)</t>
  </si>
  <si>
    <t>G300x500x2000 (stěna 100 mm)</t>
  </si>
  <si>
    <t>G400x500x2000 (stěna 100 mm)</t>
  </si>
  <si>
    <t>G500x500x2000 (stěna 120 mm)</t>
  </si>
  <si>
    <t>ITS103-01</t>
  </si>
  <si>
    <t>GH200x500x1000 (stěna 60 mm)</t>
  </si>
  <si>
    <t>GH250x500x1000 (stěna 80 mm)</t>
  </si>
  <si>
    <t>GH200x500x1500 (stěna 60 mm)</t>
  </si>
  <si>
    <t>GH250x500x1500 (stěna 80 mm)</t>
  </si>
  <si>
    <t>GH200x500x2000 (stěna 60 mm)</t>
  </si>
  <si>
    <t>GH250x500x2000 (stěna 80 mm)</t>
  </si>
  <si>
    <t>GH300x500x2000 (stěna 100 mm)</t>
  </si>
  <si>
    <t>GH400x500x2000 (stěna 100 mm)</t>
  </si>
  <si>
    <t>GH500x500x2000 (stěna 120 mm)</t>
  </si>
  <si>
    <t>Tlumiče hluku v kašírovaném provedení - typ GE</t>
  </si>
  <si>
    <t>GE200x500x1000 (stěna 50 mm)</t>
  </si>
  <si>
    <t>GE250x500x1000 (stěna 80 mm)</t>
  </si>
  <si>
    <t>GE250x500x1500 (stěna 80 mm)</t>
  </si>
  <si>
    <t>GE300x500x1000 (stěna 100 mm)</t>
  </si>
  <si>
    <t>GE300x500x1500 (stěna 100 mm)</t>
  </si>
  <si>
    <t>ITS101-01</t>
  </si>
  <si>
    <t>Uvedené ceny jsou v Kč bez DPH.</t>
  </si>
  <si>
    <t>Cena je stanovena bez dopravy a montáže, EXW Uhlířské Janovice (Incoterms 2000).</t>
  </si>
  <si>
    <t>Informujte se u nás na Vaše rabatové podmínky !</t>
  </si>
  <si>
    <t>Na vyžádání je možné tlumiče vyrobit v atypickém rozměrovém i materiálovém provedení.</t>
  </si>
  <si>
    <t>Společnost Greif-akustika, s.r.o. si vyhrazuje právo na změnu ceníku bez udání důvodu.</t>
  </si>
  <si>
    <t>Tlumiče hluku v hygienickém provedení - typ GH</t>
  </si>
  <si>
    <t>Kulisové tlumiče hluku v kašírovaném provedení - typ GKK</t>
  </si>
  <si>
    <t>ITS111-01</t>
  </si>
  <si>
    <t>Vaše cena</t>
  </si>
  <si>
    <t>Typ kulisy</t>
  </si>
  <si>
    <t>Výška [mm]</t>
  </si>
  <si>
    <t>Délka [mm]</t>
  </si>
  <si>
    <t>Výška kulisy [mm]</t>
  </si>
  <si>
    <t>Příplatky za provedení k typu GKK 100</t>
  </si>
  <si>
    <t>GKK 100
bez
náběhu a výběhu
provedení .0</t>
  </si>
  <si>
    <t>Provedení z pozinkovaného plechu, výplně z minerální plsti kryté děrovaným plechem.</t>
  </si>
  <si>
    <t>Provedení z pozinkovaného plechu, výplně z minerální plsti zavařené ve fólii a kryté děrovaným plechem.</t>
  </si>
  <si>
    <t>Provedení z pozinkovaného plechu, výplně z minerální plsti kryté netkanou kašírovanou textílií.</t>
  </si>
  <si>
    <t>GKK 200
bez
náběhu a výběhu
provedení .0</t>
  </si>
  <si>
    <t>GKK 300
bez
náběhu a výběhu
provedení .0</t>
  </si>
  <si>
    <t>Náběhy a výběhy jsou vyrobeny z pozinkovaného plechu.</t>
  </si>
  <si>
    <t>Příplatky za provedení k typu GKK 200</t>
  </si>
  <si>
    <t>Příplatky za provedení k typu GKK 300</t>
  </si>
  <si>
    <t>Ceník kulisových tlumičů hluku GKK</t>
  </si>
  <si>
    <t>Ceník kulisových tlumičů hluku GKD</t>
  </si>
  <si>
    <t>Kulisové tlumiče hluku v provedení s děrovaným plechem - typ GKD</t>
  </si>
  <si>
    <t>Příplatky za provedení k typu GKD 100</t>
  </si>
  <si>
    <t>GKD 100
bez
náběhu a výběhu
provedení .0</t>
  </si>
  <si>
    <t>ITS112-01</t>
  </si>
  <si>
    <t>Příplatky za provedení k typu GKD 300</t>
  </si>
  <si>
    <t>Příplatky za provedení k typu GKD 200</t>
  </si>
  <si>
    <t>GKD 200
bez
náběhu a výběhu
provedení .0</t>
  </si>
  <si>
    <t>Ceník kulisových tlumičů hluku GKDH</t>
  </si>
  <si>
    <t>Příplatky za provedení k typu GKDH 300</t>
  </si>
  <si>
    <t>GKDH 300
bez
náběhu a výběhu
provedení .0</t>
  </si>
  <si>
    <t>GKDH 200
bez
náběhu a výběhu
provedení .0</t>
  </si>
  <si>
    <t>GKDH 100
bez
náběhu a výběhu
provedení .0</t>
  </si>
  <si>
    <t>ITS113-01</t>
  </si>
  <si>
    <t>Ceník kruhových tlumičů hluku GD</t>
  </si>
  <si>
    <t>ITS122-01</t>
  </si>
  <si>
    <t>Kruhové tlumiče v provedení s děrovaným plechem - typ GD</t>
  </si>
  <si>
    <t>Nátrubek [mm]</t>
  </si>
  <si>
    <t>Ø125</t>
  </si>
  <si>
    <t>Ø200</t>
  </si>
  <si>
    <t>Ø224</t>
  </si>
  <si>
    <t>Ø250</t>
  </si>
  <si>
    <t>Ø280</t>
  </si>
  <si>
    <t>Ø300</t>
  </si>
  <si>
    <t>Ø315</t>
  </si>
  <si>
    <t>Ø355</t>
  </si>
  <si>
    <t>Ø400</t>
  </si>
  <si>
    <t>Ø450</t>
  </si>
  <si>
    <t>Ø500</t>
  </si>
  <si>
    <t>Ø560</t>
  </si>
  <si>
    <t>Ø600</t>
  </si>
  <si>
    <t>Ø630</t>
  </si>
  <si>
    <t>Ø710</t>
  </si>
  <si>
    <t>Ø800</t>
  </si>
  <si>
    <t>Ø100</t>
  </si>
  <si>
    <t>Ø140</t>
  </si>
  <si>
    <t>Ø150</t>
  </si>
  <si>
    <t>Ø160</t>
  </si>
  <si>
    <t>Ø180</t>
  </si>
  <si>
    <t>Nátrubek</t>
  </si>
  <si>
    <t>GD
bez jádra
provedení .0</t>
  </si>
  <si>
    <t>Příplatky za příruby</t>
  </si>
  <si>
    <t>Příruby jsou plechové, lisované v provedení z pozinkovaného plechu. Cena je stanovena pro 1 ks příruby.</t>
  </si>
  <si>
    <t>Ceník kruhových tlumičů hluku GDE</t>
  </si>
  <si>
    <t>Kruhové tlumiče v provedení s děrovaným plechem - typ GDE</t>
  </si>
  <si>
    <t>GDE
s jádrem
provedení .0</t>
  </si>
  <si>
    <t>Ceník tlumičů výfuku motorů GV</t>
  </si>
  <si>
    <t>Tlumiče výfuku motorů - typ GV první stupeň</t>
  </si>
  <si>
    <t>Výkon motoru</t>
  </si>
  <si>
    <t>30 až 200 kVA</t>
  </si>
  <si>
    <t>ITS162-01</t>
  </si>
  <si>
    <t>Ceník akustických materiálů</t>
  </si>
  <si>
    <t>ITS216-01</t>
  </si>
  <si>
    <t>451 až 800 kVA</t>
  </si>
  <si>
    <t>201 až 450 kVA</t>
  </si>
  <si>
    <t>801 až 1200 kVA</t>
  </si>
  <si>
    <t>GV 1200 I°</t>
  </si>
  <si>
    <t>GV 1000 I°</t>
  </si>
  <si>
    <t>GV 800 I°</t>
  </si>
  <si>
    <t>GV 600 I°</t>
  </si>
  <si>
    <t>Provedení z černého plechu, výplň tvoří absorpční materiál balený v teplotně odolných tkaninách a krytý děrovaným plechem.</t>
  </si>
  <si>
    <t>GV 600 II°</t>
  </si>
  <si>
    <t>GV 800 II°</t>
  </si>
  <si>
    <t>GV 1000 II°</t>
  </si>
  <si>
    <t>GV 1200 II°</t>
  </si>
  <si>
    <t>Tlumiče výfuku motorů - typ GV druhý stupeň</t>
  </si>
  <si>
    <t xml:space="preserve">BELAR® je elastická kompozitní hmota zhotovená z  pryžového granulátu pojeného polybutadien-polyuretanovým pojivem. </t>
  </si>
  <si>
    <t xml:space="preserve">Vibro izolační materiál BELAR® </t>
  </si>
  <si>
    <t>Typové označení materiálu</t>
  </si>
  <si>
    <t>BELAR 0,65 1500x500x25 mm</t>
  </si>
  <si>
    <t>BELAR 0,80 1500x500x10 mm</t>
  </si>
  <si>
    <t>BELAR 0,80 1500x500x15 mm</t>
  </si>
  <si>
    <t>BELAR 0,80 1500x500x20 mm</t>
  </si>
  <si>
    <t>BELAR 0,80 1500x500x25 mm</t>
  </si>
  <si>
    <t>BELAR 0,90 1500x500x10 mm</t>
  </si>
  <si>
    <t>BELAR 0,90 1500x500x15 mm</t>
  </si>
  <si>
    <t>BELAR 0,90 1500x500x20 mm</t>
  </si>
  <si>
    <t>BELAR 0,90 1500x500x25 mm</t>
  </si>
  <si>
    <t>BELAR 1,00 1500x500x10 mm</t>
  </si>
  <si>
    <t>BELAR 1,00 1500x500x15 mm</t>
  </si>
  <si>
    <t>BELAR 1,00 1500x500x20 mm</t>
  </si>
  <si>
    <t>BELAR 1,00 1500x500x25 mm</t>
  </si>
  <si>
    <t xml:space="preserve">Vibro izolační materiál RÝHOVANÁ GUMA </t>
  </si>
  <si>
    <t>ITS215-01</t>
  </si>
  <si>
    <t>Rýhovaná guma je určena pro pružné ukládání strojů a zařízení, snižuje přenos vibrací přenášených do konstrukcí.</t>
  </si>
  <si>
    <t>RÝHOVANÁ GUMA 600x300x8 mm</t>
  </si>
  <si>
    <t>Na vyžádání je možné dodat odřezky nabízených materiálů, nebo atypické přířezy.</t>
  </si>
  <si>
    <t>Vibro izolační materiál AMS</t>
  </si>
  <si>
    <t>ITS217-01</t>
  </si>
  <si>
    <t>AMS je syntetický polymer CPE na bázi chlorovaného polyetylénu s minerálním plnivem, aromatickými oleji a dalšími aditivy.</t>
  </si>
  <si>
    <t>Akustické minerální vaty</t>
  </si>
  <si>
    <t>Akustické minerální vaty používané pro tlumení hluku</t>
  </si>
  <si>
    <t>Ceník akustických krytů GAK</t>
  </si>
  <si>
    <t>Akustické kryty chladicích jednotek a tepelných čerpadel - typ GAK</t>
  </si>
  <si>
    <t>ITS140-01</t>
  </si>
  <si>
    <t>Šířka</t>
  </si>
  <si>
    <t>Výška</t>
  </si>
  <si>
    <t>Hloubka</t>
  </si>
  <si>
    <t>Typ krytu GAKE</t>
  </si>
  <si>
    <t>Maximální rozměry jednotky</t>
  </si>
  <si>
    <t>Rozměry akustického krytu</t>
  </si>
  <si>
    <t>Typ krytu GAK1</t>
  </si>
  <si>
    <t>Typ krytu GAK2</t>
  </si>
  <si>
    <t>Provedení z pozinkovaného nebo lakovaného plechu, výplň z minerální plsti kryté netkanou kašírovanou textílií.</t>
  </si>
  <si>
    <t>Příplatky k akustickým krytům GAK</t>
  </si>
  <si>
    <t>Popis</t>
  </si>
  <si>
    <t>Příplatek za barvu pro kryt typ GAKE</t>
  </si>
  <si>
    <t>Uvedené ceny jsou v Kč bez DPH. Cena je stanovena EXW Uhlířské Janovice (Incoterms 2000).</t>
  </si>
  <si>
    <t>Cena tlumičů v atypickém provedení je stanovena podle nejbližší vyšší ceníkové ceny.</t>
  </si>
  <si>
    <t>GKD 300
bez
náběhu a výběhu
provedení .0</t>
  </si>
  <si>
    <t>Příplatek za barvu dle standardního vzorníku RAL.</t>
  </si>
  <si>
    <t>AMS fólie 2 mm, samolep, 1000x2000 mm</t>
  </si>
  <si>
    <t>AMS fólie 3 mm, samolep, 1000x2000 mm</t>
  </si>
  <si>
    <t>Ceny za atypické rozměry, odstíny barev, nebo kombinace barev budou stanoveny individuálně.</t>
  </si>
  <si>
    <t>BELAR 0,65 1500x500x20 mm</t>
  </si>
  <si>
    <t>AMS fólie 2 + STRUTO 20 + Al fólie, samolep, 1000x2000 mm</t>
  </si>
  <si>
    <t>(.1) náběh</t>
  </si>
  <si>
    <t>(.2) výběh</t>
  </si>
  <si>
    <t>(.3) náběh + výběh</t>
  </si>
  <si>
    <t>Příruba lisovaná</t>
  </si>
  <si>
    <t>Základní cena</t>
  </si>
  <si>
    <t>ITS150-01</t>
  </si>
  <si>
    <t>Ceník protihlukových digestoří GPHD</t>
  </si>
  <si>
    <t>GPHD 1500x1500x500</t>
  </si>
  <si>
    <t>provedení ZN</t>
  </si>
  <si>
    <t>provedení ZN lakované RAL</t>
  </si>
  <si>
    <t>provedení NEREZ 1.4301</t>
  </si>
  <si>
    <t>provedení NEREZ 1.4404</t>
  </si>
  <si>
    <t>Rám digestoře je vyroben z pozinkovaného, nebo nerezového plechu, výplň z minerální plsti kryté netkanou kašírovanou textílií.</t>
  </si>
  <si>
    <t>GPHD 1200x1200x250</t>
  </si>
  <si>
    <t>Standardní rozměr - průmyslové provedení</t>
  </si>
  <si>
    <t>Zmenšený rozměr - interiérové provedení</t>
  </si>
  <si>
    <t>V případě potřeby je možné dodat digestoř atypických rozměrů, podle potřeb dané instalace.</t>
  </si>
  <si>
    <t>Provedení:</t>
  </si>
  <si>
    <t>vyrobeno z pozinkovaného plechu bez další povrchové úpravy</t>
  </si>
  <si>
    <t>vyrobeno z pozinkovaného plechu, lakovaného ve standardní barvě RAL</t>
  </si>
  <si>
    <t>vyrobeno ze základní potravinové nerezi bez další povrchové úpravy</t>
  </si>
  <si>
    <t>vyrobeno z chemického nerezu bez další povrchové úpravy</t>
  </si>
  <si>
    <t>List č. 2</t>
  </si>
  <si>
    <t>PLATNOST</t>
  </si>
  <si>
    <t>Kulisové tlumiče hluku typ GKK, GKD, GKDH</t>
  </si>
  <si>
    <t>Buňkové tlumiče hluku typ G, GE, GH</t>
  </si>
  <si>
    <t>Kruhové tlumiče hluku typ GD, GDE</t>
  </si>
  <si>
    <t>Tlumiče výfuku typ GV</t>
  </si>
  <si>
    <t>Akustické materiály</t>
  </si>
  <si>
    <t>Akustické kryty typ GAKE, GAK1, GAK2, GAKV</t>
  </si>
  <si>
    <t>Protihluková digestoř typ GPHD</t>
  </si>
  <si>
    <t>List č. 3</t>
  </si>
  <si>
    <t>List č. 19</t>
  </si>
  <si>
    <t>List č. 20</t>
  </si>
  <si>
    <t>List č. 21</t>
  </si>
  <si>
    <t>Tlumiče jsou učeny pro tlumení hluku výfuku spalovacích motorů (záložních zdrojů, kogeneračních jednotek apod.). Vyráběny jsou ve variantách pro různa paliva.</t>
  </si>
  <si>
    <t>Buňkové tlumiče hluku jsou určeny pro instalaci do potrubí, nebo stavebně připravených kanálů, pro tlumení hluku ventilátorů, VZT jednotek a jiných strojních zařízení.</t>
  </si>
  <si>
    <t>Kruhové tlumiče hluku jsou určené pro instalaci do kruhového potrubí pro tlumení hluku šířeného zejména z axiálních ventilátorů.</t>
  </si>
  <si>
    <t>Vybrané akustické materiály zvyšující neprůzvučnost tenkých konstrukcí, pohltivost nebo izolující od nežádoucích vibrací.</t>
  </si>
  <si>
    <t>Lehké akustické kryty určené pro tlumení hluku tepelných čerpadel, venkovních chladicích jednotek a jiných zdrojů hluku s vlastním přívodem vzduchu.</t>
  </si>
  <si>
    <t>Nosný rám jednotky</t>
  </si>
  <si>
    <t>Nosný rám jednotky - pro kryt typu GAKE</t>
  </si>
  <si>
    <t>Nosný rám jednotky - pro kryt typu GAK1 nebo GAK2</t>
  </si>
  <si>
    <t>Rám je určen pro usazení jednotky nad zem ve výšce 250 mm (námraza). Rám je možné propojit s rámem krytu. Materiál pozinkovaný plech.</t>
  </si>
  <si>
    <t>Digestoř je akustický absorbér určený pro tlumení hluku na pracovištích. Instaluje se do blízkosti zdroje, kde svojí přítomností omezuje šíření hluku na další pracoviště.</t>
  </si>
  <si>
    <t>Ø900</t>
  </si>
  <si>
    <t>Ø1000</t>
  </si>
  <si>
    <t>nabídka</t>
  </si>
  <si>
    <t>atyp</t>
  </si>
  <si>
    <t>Ceník výrobků</t>
  </si>
  <si>
    <t>Přeslechové tlumičů hluku</t>
  </si>
  <si>
    <t>Přeslechové tlumiče typ GKP</t>
  </si>
  <si>
    <t>Přeslechové tlumiče jsou tlumiče hluku, určené pro omezení přeslechu z jedné místnosti do druhé. Tyto tlumiče nejsou vhodné pro tlumení hluku točivých strojů.</t>
  </si>
  <si>
    <t>GKP 500x200x1000.1</t>
  </si>
  <si>
    <t>GKP 500x250x1000.1</t>
  </si>
  <si>
    <t>Přeslechové tlumiče hluku - typ GKP</t>
  </si>
  <si>
    <t>Typ tlumiče - provedení bez přírub (.1)</t>
  </si>
  <si>
    <t>GKP 500x300x1000.1</t>
  </si>
  <si>
    <t>GKP 500x400x1000.1</t>
  </si>
  <si>
    <t>GKP 500x500x1000.1</t>
  </si>
  <si>
    <t>GKP 800x200x1000.1</t>
  </si>
  <si>
    <t>GKP 800x250x1000.1</t>
  </si>
  <si>
    <t>GKP 800x300x1000.1</t>
  </si>
  <si>
    <t>GKP 800x400x1000.1</t>
  </si>
  <si>
    <t>GKP 800x500x1000.1</t>
  </si>
  <si>
    <t>GKP 500x200x1500.1</t>
  </si>
  <si>
    <t>GKP 500x250x1500.1</t>
  </si>
  <si>
    <t>GKP 500x300x1500.1</t>
  </si>
  <si>
    <t>GKP 500x400x1500.1</t>
  </si>
  <si>
    <t>GKP 500x500x1500.1</t>
  </si>
  <si>
    <t>GKP 800x200x1500.1</t>
  </si>
  <si>
    <t>GKP 800x250x1500.1</t>
  </si>
  <si>
    <t>GKP 800x300x1500.1</t>
  </si>
  <si>
    <t>GKP 800x400x1500.1</t>
  </si>
  <si>
    <t>GKP 800x500x1500.1</t>
  </si>
  <si>
    <t>Výška tlumiče [mm]</t>
  </si>
  <si>
    <t>(.2) příruba na jedné straně tlumiče</t>
  </si>
  <si>
    <t>(.3) příruba na obou stranách tlumiče</t>
  </si>
  <si>
    <t>Příplatky za příruby - šířka tlumiče 500 mm</t>
  </si>
  <si>
    <t>Příruby jsou standardní VZT příruby šířky 30 mm (na vyžádání lze osadit příruby VZT 20 mm)</t>
  </si>
  <si>
    <t>Příplatky za příruby - šířka tlumiče 800 mm</t>
  </si>
  <si>
    <t>List č. 4</t>
  </si>
  <si>
    <t>List č. 13</t>
  </si>
  <si>
    <t>List č. 22</t>
  </si>
  <si>
    <t>List č. 23</t>
  </si>
  <si>
    <t>GE200x500x1500 (stěna 50 mm)</t>
  </si>
  <si>
    <t>Typ krytu GAKV1</t>
  </si>
  <si>
    <t>Typ krytu GAKV2</t>
  </si>
  <si>
    <t>Nosný rám jednotky - pro kryt typu GAKV1</t>
  </si>
  <si>
    <t>Nosný rám jednotky - pro kryt typu GAKV2</t>
  </si>
  <si>
    <t>ROCKTON 50 kg/m3, 50x1000x610 mm</t>
  </si>
  <si>
    <t>ROCKTON 50 kg/m3, 80x1000x610 mm</t>
  </si>
  <si>
    <t>ORSTECH 45 NT 50 kg/m3, 50x1000x1200 mm, kašír 1 str.</t>
  </si>
  <si>
    <t>Uvedené ceny jsou v Kč bez DPH. Cena je bez dopravy a montáže, EXW Uhlířské Janovice.</t>
  </si>
  <si>
    <t>Uvedené ceny jsou stanoveny bez DPH, dopravy a montáže, EXW Uhlířské Janovice.</t>
  </si>
  <si>
    <t>Akustické kryty typu GAKE jsou standardně dodávány v pozinkovaném provedení.</t>
  </si>
  <si>
    <t>BELAR 1,10 1500x500x25 mm</t>
  </si>
  <si>
    <t>Akustické kryty GAKV1 a GAKV2 jsou určeny pro větší jednotky s vertikální výdechem (1 nebo 2 ventilátory).</t>
  </si>
  <si>
    <t>Součástí ceny jsou nosné rámy pod kryt, které jsou určené pro vynesení váhy krytu a prostup instalací.</t>
  </si>
  <si>
    <t>Akustické kryty typu GAK1 a GAK2 jsou určeny pro 1 a 2 vrtulové jednotky s výdechem vzduchu do strany.</t>
  </si>
  <si>
    <t>Všechny akustické kryty (vyjma typu GAKE) jsou optimalizovány pro proudění vzduchu s nízkou tlakovou ztrátou.</t>
  </si>
  <si>
    <t>Cílem této optimalizace je zajištění minimální změny výkonu zařízení v případě provozu s akustickým krytem.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</si>
</sst>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\ \m\m"/>
  </numFmts>
  <fonts count="18" x14ac:knownFonts="1">
    <font>
      <sz val="11"/>
      <color theme="1"/>
      <name val="Corbel"/>
      <family val="2"/>
      <scheme val="minor"/>
    </font>
    <font>
      <sz val="11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 Narrow"/>
      <family val="2"/>
      <charset val="238"/>
    </font>
    <font>
      <b/>
      <sz val="10"/>
      <color theme="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6F3D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Protection="1">
      <protection hidden="1"/>
    </xf>
    <xf numFmtId="9" fontId="7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6" fillId="0" borderId="0" xfId="0" applyFont="1" applyAlignment="1" applyProtection="1">
      <alignment horizontal="left" indent="1"/>
      <protection hidden="1"/>
    </xf>
    <xf numFmtId="164" fontId="6" fillId="0" borderId="0" xfId="0" applyNumberFormat="1" applyFont="1" applyAlignment="1" applyProtection="1">
      <alignment horizontal="center"/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164" fontId="6" fillId="0" borderId="5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165" fontId="6" fillId="0" borderId="5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left" vertical="center" wrapText="1" indent="1"/>
      <protection hidden="1"/>
    </xf>
    <xf numFmtId="4" fontId="12" fillId="0" borderId="0" xfId="0" applyNumberFormat="1" applyFont="1" applyAlignment="1" applyProtection="1">
      <alignment horizontal="center"/>
      <protection hidden="1"/>
    </xf>
    <xf numFmtId="164" fontId="1" fillId="0" borderId="0" xfId="0" applyNumberFormat="1" applyFont="1" applyProtection="1">
      <protection hidden="1"/>
    </xf>
    <xf numFmtId="164" fontId="6" fillId="0" borderId="0" xfId="0" applyNumberFormat="1" applyFont="1" applyProtection="1">
      <protection hidden="1"/>
    </xf>
    <xf numFmtId="1" fontId="1" fillId="0" borderId="0" xfId="0" applyNumberFormat="1" applyFont="1" applyProtection="1">
      <protection hidden="1"/>
    </xf>
    <xf numFmtId="4" fontId="7" fillId="0" borderId="0" xfId="0" applyNumberFormat="1" applyFont="1" applyAlignment="1" applyProtection="1">
      <alignment horizontal="center" vertical="center"/>
      <protection hidden="1"/>
    </xf>
    <xf numFmtId="164" fontId="17" fillId="0" borderId="5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13" fillId="2" borderId="8" xfId="0" applyFont="1" applyFill="1" applyBorder="1" applyAlignment="1" applyProtection="1">
      <alignment horizontal="left" vertical="center" wrapText="1" indent="1"/>
      <protection hidden="1"/>
    </xf>
    <xf numFmtId="0" fontId="13" fillId="2" borderId="19" xfId="0" applyFont="1" applyFill="1" applyBorder="1" applyAlignment="1" applyProtection="1">
      <alignment horizontal="left" vertical="center" wrapText="1" indent="1"/>
      <protection hidden="1"/>
    </xf>
    <xf numFmtId="0" fontId="13" fillId="2" borderId="9" xfId="0" applyFont="1" applyFill="1" applyBorder="1" applyAlignment="1" applyProtection="1">
      <alignment horizontal="left" vertical="center" wrapText="1" indent="1"/>
      <protection hidden="1"/>
    </xf>
    <xf numFmtId="0" fontId="13" fillId="2" borderId="12" xfId="0" applyFont="1" applyFill="1" applyBorder="1" applyAlignment="1" applyProtection="1">
      <alignment horizontal="left" vertical="center" wrapText="1" indent="1"/>
      <protection hidden="1"/>
    </xf>
    <xf numFmtId="0" fontId="13" fillId="2" borderId="14" xfId="0" applyFont="1" applyFill="1" applyBorder="1" applyAlignment="1" applyProtection="1">
      <alignment horizontal="left" vertical="center" wrapText="1" indent="1"/>
      <protection hidden="1"/>
    </xf>
    <xf numFmtId="0" fontId="13" fillId="2" borderId="13" xfId="0" applyFont="1" applyFill="1" applyBorder="1" applyAlignment="1" applyProtection="1">
      <alignment horizontal="left" vertical="center" wrapText="1" indent="1"/>
      <protection hidden="1"/>
    </xf>
    <xf numFmtId="49" fontId="16" fillId="0" borderId="8" xfId="0" applyNumberFormat="1" applyFont="1" applyBorder="1" applyAlignment="1" applyProtection="1">
      <alignment horizontal="left" vertical="center" wrapText="1" indent="1"/>
      <protection hidden="1"/>
    </xf>
    <xf numFmtId="49" fontId="16" fillId="0" borderId="19" xfId="0" applyNumberFormat="1" applyFont="1" applyBorder="1" applyAlignment="1" applyProtection="1">
      <alignment horizontal="left" vertical="center" wrapText="1" indent="1"/>
      <protection hidden="1"/>
    </xf>
    <xf numFmtId="49" fontId="16" fillId="0" borderId="9" xfId="0" applyNumberFormat="1" applyFont="1" applyBorder="1" applyAlignment="1" applyProtection="1">
      <alignment horizontal="left" vertical="center" wrapText="1" indent="1"/>
      <protection hidden="1"/>
    </xf>
    <xf numFmtId="49" fontId="16" fillId="0" borderId="10" xfId="0" applyNumberFormat="1" applyFont="1" applyBorder="1" applyAlignment="1" applyProtection="1">
      <alignment horizontal="left" vertical="center" wrapText="1" indent="1"/>
      <protection hidden="1"/>
    </xf>
    <xf numFmtId="49" fontId="16" fillId="0" borderId="0" xfId="0" applyNumberFormat="1" applyFont="1" applyAlignment="1" applyProtection="1">
      <alignment horizontal="left" vertical="center" wrapText="1" indent="1"/>
      <protection hidden="1"/>
    </xf>
    <xf numFmtId="49" fontId="16" fillId="0" borderId="11" xfId="0" applyNumberFormat="1" applyFont="1" applyBorder="1" applyAlignment="1" applyProtection="1">
      <alignment horizontal="left" vertical="center" wrapText="1" indent="1"/>
      <protection hidden="1"/>
    </xf>
    <xf numFmtId="49" fontId="16" fillId="0" borderId="12" xfId="0" applyNumberFormat="1" applyFont="1" applyBorder="1" applyAlignment="1" applyProtection="1">
      <alignment horizontal="left" vertical="center" wrapText="1" indent="1"/>
      <protection hidden="1"/>
    </xf>
    <xf numFmtId="49" fontId="16" fillId="0" borderId="14" xfId="0" applyNumberFormat="1" applyFont="1" applyBorder="1" applyAlignment="1" applyProtection="1">
      <alignment horizontal="left" vertical="center" wrapText="1" indent="1"/>
      <protection hidden="1"/>
    </xf>
    <xf numFmtId="49" fontId="16" fillId="0" borderId="13" xfId="0" applyNumberFormat="1" applyFont="1" applyBorder="1" applyAlignment="1" applyProtection="1">
      <alignment horizontal="left" vertical="center" wrapText="1" indent="1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11" xfId="0" applyFont="1" applyBorder="1" applyAlignment="1" applyProtection="1">
      <alignment horizontal="center" vertical="center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0" borderId="13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14" fontId="14" fillId="0" borderId="20" xfId="0" applyNumberFormat="1" applyFont="1" applyBorder="1" applyAlignment="1" applyProtection="1">
      <alignment horizontal="center" vertical="center" wrapText="1"/>
      <protection hidden="1"/>
    </xf>
    <xf numFmtId="14" fontId="14" fillId="0" borderId="21" xfId="0" applyNumberFormat="1" applyFont="1" applyBorder="1" applyAlignment="1" applyProtection="1">
      <alignment horizontal="center" vertical="center" wrapText="1"/>
      <protection hidden="1"/>
    </xf>
    <xf numFmtId="14" fontId="14" fillId="0" borderId="22" xfId="0" applyNumberFormat="1" applyFont="1" applyBorder="1" applyAlignment="1" applyProtection="1">
      <alignment horizontal="center" vertical="center" wrapText="1"/>
      <protection hidden="1"/>
    </xf>
    <xf numFmtId="14" fontId="14" fillId="0" borderId="23" xfId="0" applyNumberFormat="1" applyFont="1" applyBorder="1" applyAlignment="1" applyProtection="1">
      <alignment horizontal="center" vertical="center" wrapText="1"/>
      <protection hidden="1"/>
    </xf>
    <xf numFmtId="0" fontId="11" fillId="0" borderId="14" xfId="0" applyFont="1" applyBorder="1" applyAlignment="1" applyProtection="1">
      <alignment horizontal="left" vertical="center" indent="1"/>
      <protection hidden="1"/>
    </xf>
    <xf numFmtId="0" fontId="6" fillId="0" borderId="5" xfId="0" applyFont="1" applyBorder="1" applyAlignment="1" applyProtection="1">
      <alignment horizontal="left" indent="1"/>
      <protection hidden="1"/>
    </xf>
    <xf numFmtId="164" fontId="6" fillId="0" borderId="5" xfId="0" applyNumberFormat="1" applyFont="1" applyBorder="1" applyAlignment="1" applyProtection="1">
      <alignment horizontal="center"/>
      <protection hidden="1"/>
    </xf>
    <xf numFmtId="164" fontId="9" fillId="0" borderId="5" xfId="0" applyNumberFormat="1" applyFont="1" applyBorder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left" indent="1"/>
      <protection hidden="1"/>
    </xf>
    <xf numFmtId="0" fontId="4" fillId="0" borderId="5" xfId="0" applyFont="1" applyBorder="1" applyAlignment="1" applyProtection="1">
      <alignment horizontal="center"/>
      <protection hidden="1"/>
    </xf>
    <xf numFmtId="9" fontId="2" fillId="0" borderId="1" xfId="0" applyNumberFormat="1" applyFont="1" applyBorder="1" applyAlignment="1" applyProtection="1">
      <alignment horizontal="center" vertical="center"/>
      <protection locked="0" hidden="1"/>
    </xf>
    <xf numFmtId="9" fontId="2" fillId="0" borderId="2" xfId="0" applyNumberFormat="1" applyFont="1" applyBorder="1" applyAlignment="1" applyProtection="1">
      <alignment horizontal="center" vertical="center"/>
      <protection locked="0" hidden="1"/>
    </xf>
    <xf numFmtId="9" fontId="2" fillId="0" borderId="3" xfId="0" applyNumberFormat="1" applyFont="1" applyBorder="1" applyAlignment="1" applyProtection="1">
      <alignment horizontal="center" vertical="center"/>
      <protection locked="0" hidden="1"/>
    </xf>
    <xf numFmtId="9" fontId="2" fillId="0" borderId="4" xfId="0" applyNumberFormat="1" applyFont="1" applyBorder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left" indent="1"/>
      <protection hidden="1"/>
    </xf>
    <xf numFmtId="0" fontId="6" fillId="0" borderId="7" xfId="0" applyFont="1" applyBorder="1" applyAlignment="1" applyProtection="1">
      <alignment horizontal="left" indent="1"/>
      <protection hidden="1"/>
    </xf>
    <xf numFmtId="0" fontId="6" fillId="0" borderId="5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left" indent="1"/>
      <protection hidden="1"/>
    </xf>
    <xf numFmtId="0" fontId="9" fillId="0" borderId="7" xfId="0" applyFont="1" applyBorder="1" applyAlignment="1" applyProtection="1">
      <alignment horizontal="left" indent="1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164" fontId="9" fillId="0" borderId="6" xfId="0" applyNumberFormat="1" applyFont="1" applyBorder="1" applyAlignment="1" applyProtection="1">
      <alignment horizontal="center"/>
      <protection hidden="1"/>
    </xf>
    <xf numFmtId="164" fontId="9" fillId="0" borderId="7" xfId="0" applyNumberFormat="1" applyFont="1" applyBorder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164" fontId="6" fillId="0" borderId="7" xfId="0" applyNumberFormat="1" applyFont="1" applyBorder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left" vertical="center" wrapText="1" indent="1"/>
      <protection hidden="1"/>
    </xf>
    <xf numFmtId="0" fontId="6" fillId="0" borderId="15" xfId="0" applyFont="1" applyBorder="1" applyAlignment="1" applyProtection="1">
      <alignment horizontal="left" vertical="center" wrapText="1" indent="1"/>
      <protection hidden="1"/>
    </xf>
    <xf numFmtId="0" fontId="6" fillId="0" borderId="7" xfId="0" applyFont="1" applyBorder="1" applyAlignment="1" applyProtection="1">
      <alignment horizontal="left" vertical="center" wrapText="1" indent="1"/>
      <protection hidden="1"/>
    </xf>
    <xf numFmtId="0" fontId="11" fillId="0" borderId="14" xfId="0" applyFont="1" applyBorder="1" applyAlignment="1" applyProtection="1">
      <alignment horizontal="left" vertical="center" wrapText="1" indent="1"/>
      <protection hidden="1"/>
    </xf>
    <xf numFmtId="0" fontId="4" fillId="0" borderId="6" xfId="0" applyFont="1" applyBorder="1" applyAlignment="1" applyProtection="1">
      <alignment horizontal="left" indent="1"/>
      <protection hidden="1"/>
    </xf>
    <xf numFmtId="0" fontId="4" fillId="0" borderId="15" xfId="0" applyFont="1" applyBorder="1" applyAlignment="1" applyProtection="1">
      <alignment horizontal="left" indent="1"/>
      <protection hidden="1"/>
    </xf>
    <xf numFmtId="0" fontId="4" fillId="0" borderId="7" xfId="0" applyFont="1" applyBorder="1" applyAlignment="1" applyProtection="1">
      <alignment horizontal="left" indent="1"/>
      <protection hidden="1"/>
    </xf>
    <xf numFmtId="0" fontId="4" fillId="0" borderId="6" xfId="0" applyFont="1" applyBorder="1" applyAlignment="1" applyProtection="1">
      <alignment horizontal="left" wrapText="1" indent="1"/>
      <protection hidden="1"/>
    </xf>
    <xf numFmtId="0" fontId="4" fillId="0" borderId="15" xfId="0" applyFont="1" applyBorder="1" applyAlignment="1" applyProtection="1">
      <alignment horizontal="left" wrapText="1" indent="1"/>
      <protection hidden="1"/>
    </xf>
    <xf numFmtId="0" fontId="4" fillId="0" borderId="7" xfId="0" applyFont="1" applyBorder="1" applyAlignment="1" applyProtection="1">
      <alignment horizontal="left" wrapText="1" indent="1"/>
      <protection hidden="1"/>
    </xf>
    <xf numFmtId="164" fontId="6" fillId="0" borderId="8" xfId="0" applyNumberFormat="1" applyFont="1" applyBorder="1" applyAlignment="1" applyProtection="1">
      <alignment horizontal="center" vertical="center"/>
      <protection hidden="1"/>
    </xf>
    <xf numFmtId="164" fontId="6" fillId="0" borderId="9" xfId="0" applyNumberFormat="1" applyFont="1" applyBorder="1" applyAlignment="1" applyProtection="1">
      <alignment horizontal="center" vertical="center"/>
      <protection hidden="1"/>
    </xf>
    <xf numFmtId="164" fontId="6" fillId="0" borderId="12" xfId="0" applyNumberFormat="1" applyFont="1" applyBorder="1" applyAlignment="1" applyProtection="1">
      <alignment horizontal="center" vertical="center"/>
      <protection hidden="1"/>
    </xf>
    <xf numFmtId="164" fontId="6" fillId="0" borderId="13" xfId="0" applyNumberFormat="1" applyFont="1" applyBorder="1" applyAlignment="1" applyProtection="1">
      <alignment horizontal="center" vertical="center"/>
      <protection hidden="1"/>
    </xf>
    <xf numFmtId="164" fontId="9" fillId="0" borderId="8" xfId="0" applyNumberFormat="1" applyFont="1" applyBorder="1" applyAlignment="1" applyProtection="1">
      <alignment horizontal="center" vertical="center"/>
      <protection hidden="1"/>
    </xf>
    <xf numFmtId="164" fontId="9" fillId="0" borderId="9" xfId="0" applyNumberFormat="1" applyFont="1" applyBorder="1" applyAlignment="1" applyProtection="1">
      <alignment horizontal="center" vertical="center"/>
      <protection hidden="1"/>
    </xf>
    <xf numFmtId="164" fontId="9" fillId="0" borderId="12" xfId="0" applyNumberFormat="1" applyFont="1" applyBorder="1" applyAlignment="1" applyProtection="1">
      <alignment horizontal="center" vertical="center"/>
      <protection hidden="1"/>
    </xf>
    <xf numFmtId="164" fontId="9" fillId="0" borderId="13" xfId="0" applyNumberFormat="1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left" vertical="center" wrapText="1" indent="1"/>
      <protection hidden="1"/>
    </xf>
    <xf numFmtId="164" fontId="6" fillId="0" borderId="5" xfId="0" applyNumberFormat="1" applyFont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left" vertical="center" wrapText="1" indent="1"/>
      <protection hidden="1"/>
    </xf>
    <xf numFmtId="0" fontId="9" fillId="0" borderId="6" xfId="0" applyFont="1" applyBorder="1" applyAlignment="1" applyProtection="1">
      <alignment horizontal="left" vertical="center" wrapText="1" indent="1"/>
      <protection hidden="1"/>
    </xf>
    <xf numFmtId="0" fontId="9" fillId="0" borderId="15" xfId="0" applyFont="1" applyBorder="1" applyAlignment="1" applyProtection="1">
      <alignment horizontal="left" vertical="center" wrapText="1" indent="1"/>
      <protection hidden="1"/>
    </xf>
    <xf numFmtId="0" fontId="9" fillId="0" borderId="7" xfId="0" applyFont="1" applyBorder="1" applyAlignment="1" applyProtection="1">
      <alignment horizontal="left" vertical="center" wrapText="1" indent="1"/>
      <protection hidden="1"/>
    </xf>
    <xf numFmtId="164" fontId="9" fillId="0" borderId="5" xfId="0" applyNumberFormat="1" applyFont="1" applyBorder="1" applyAlignment="1" applyProtection="1">
      <alignment horizontal="center" vertical="center"/>
      <protection hidden="1"/>
    </xf>
    <xf numFmtId="165" fontId="6" fillId="0" borderId="16" xfId="0" applyNumberFormat="1" applyFont="1" applyBorder="1" applyAlignment="1" applyProtection="1">
      <alignment horizontal="center" vertical="center" wrapText="1"/>
      <protection hidden="1"/>
    </xf>
    <xf numFmtId="165" fontId="6" fillId="0" borderId="17" xfId="0" applyNumberFormat="1" applyFont="1" applyBorder="1" applyAlignment="1" applyProtection="1">
      <alignment horizontal="center" vertical="center" wrapText="1"/>
      <protection hidden="1"/>
    </xf>
    <xf numFmtId="165" fontId="6" fillId="0" borderId="18" xfId="0" applyNumberFormat="1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left" indent="1"/>
      <protection hidden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006F3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26" Type="http://schemas.microsoft.com/office/2017/10/relationships/person" Target="persons/person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5" Type="http://schemas.microsoft.com/office/2017/10/relationships/person" Target="persons/pers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9" Type="http://schemas.microsoft.com/office/2017/10/relationships/person" Target="persons/person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microsoft.com/office/2017/10/relationships/person" Target="persons/person0.xml"/><Relationship Id="rId28" Type="http://schemas.microsoft.com/office/2017/10/relationships/person" Target="persons/person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31" Type="http://schemas.microsoft.com/office/2017/10/relationships/person" Target="persons/person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7" Type="http://schemas.microsoft.com/office/2017/10/relationships/person" Target="persons/person.xml"/><Relationship Id="rId30" Type="http://schemas.microsoft.com/office/2017/10/relationships/person" Target="persons/person8.xml"/><Relationship Id="rId22" Type="http://schemas.microsoft.com/office/2017/10/relationships/person" Target="persons/person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6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7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119055</xdr:colOff>
      <xdr:row>8</xdr:row>
      <xdr:rowOff>39686</xdr:rowOff>
    </xdr:from>
    <xdr:to>
      <xdr:col>1</xdr:col>
      <xdr:colOff>488942</xdr:colOff>
      <xdr:row>13</xdr:row>
      <xdr:rowOff>167186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13" r="13350"/>
        <a:stretch/>
      </xdr:blipFill>
      <xdr:spPr>
        <a:xfrm>
          <a:off x="119055" y="1563686"/>
          <a:ext cx="10287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166689</xdr:colOff>
      <xdr:row>14</xdr:row>
      <xdr:rowOff>27535</xdr:rowOff>
    </xdr:from>
    <xdr:to>
      <xdr:col>1</xdr:col>
      <xdr:colOff>374778</xdr:colOff>
      <xdr:row>19</xdr:row>
      <xdr:rowOff>155035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70" r="24928"/>
        <a:stretch/>
      </xdr:blipFill>
      <xdr:spPr>
        <a:xfrm>
          <a:off x="166689" y="2694535"/>
          <a:ext cx="866902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79378</xdr:colOff>
      <xdr:row>20</xdr:row>
      <xdr:rowOff>31750</xdr:rowOff>
    </xdr:from>
    <xdr:to>
      <xdr:col>1</xdr:col>
      <xdr:colOff>595316</xdr:colOff>
      <xdr:row>25</xdr:row>
      <xdr:rowOff>159250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17" r="10703"/>
        <a:stretch/>
      </xdr:blipFill>
      <xdr:spPr>
        <a:xfrm>
          <a:off x="79378" y="3841750"/>
          <a:ext cx="1174751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198436</xdr:colOff>
      <xdr:row>26</xdr:row>
      <xdr:rowOff>31749</xdr:rowOff>
    </xdr:from>
    <xdr:to>
      <xdr:col>1</xdr:col>
      <xdr:colOff>367846</xdr:colOff>
      <xdr:row>31</xdr:row>
      <xdr:rowOff>159249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55" b="4528"/>
        <a:stretch/>
      </xdr:blipFill>
      <xdr:spPr>
        <a:xfrm>
          <a:off x="198436" y="4984749"/>
          <a:ext cx="828223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15876</xdr:colOff>
      <xdr:row>45</xdr:row>
      <xdr:rowOff>15873</xdr:rowOff>
    </xdr:from>
    <xdr:to>
      <xdr:col>1</xdr:col>
      <xdr:colOff>637239</xdr:colOff>
      <xdr:row>48</xdr:row>
      <xdr:rowOff>158748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6" y="8588373"/>
          <a:ext cx="1280176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79369</xdr:colOff>
      <xdr:row>32</xdr:row>
      <xdr:rowOff>39689</xdr:rowOff>
    </xdr:from>
    <xdr:to>
      <xdr:col>1</xdr:col>
      <xdr:colOff>500556</xdr:colOff>
      <xdr:row>37</xdr:row>
      <xdr:rowOff>167189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69" y="6135689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55562</xdr:colOff>
      <xdr:row>38</xdr:row>
      <xdr:rowOff>39684</xdr:rowOff>
    </xdr:from>
    <xdr:to>
      <xdr:col>1</xdr:col>
      <xdr:colOff>568899</xdr:colOff>
      <xdr:row>43</xdr:row>
      <xdr:rowOff>167184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2" y="7278684"/>
          <a:ext cx="117215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39689</xdr:colOff>
      <xdr:row>50</xdr:row>
      <xdr:rowOff>127003</xdr:rowOff>
    </xdr:from>
    <xdr:to>
      <xdr:col>1</xdr:col>
      <xdr:colOff>634436</xdr:colOff>
      <xdr:row>55</xdr:row>
      <xdr:rowOff>39690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65EF75D7-2AF4-4EE4-8429-630117D779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90" r="7906"/>
        <a:stretch/>
      </xdr:blipFill>
      <xdr:spPr>
        <a:xfrm>
          <a:off x="39689" y="9652003"/>
          <a:ext cx="1253560" cy="833437"/>
        </a:xfrm>
        <a:prstGeom prst="rect">
          <a:avLst/>
        </a:prstGeom>
      </xdr:spPr>
    </xdr:pic>
    <xdr:clientData/>
  </xdr:twoCellAnchor>
  <xdr:twoCellAnchor editAs="oneCell">
    <xdr:from>
      <xdr:col>0</xdr:col>
      <xdr:colOff>87321</xdr:colOff>
      <xdr:row>0</xdr:row>
      <xdr:rowOff>79383</xdr:rowOff>
    </xdr:from>
    <xdr:to>
      <xdr:col>5</xdr:col>
      <xdr:colOff>125508</xdr:colOff>
      <xdr:row>3</xdr:row>
      <xdr:rowOff>49236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1DFCA16A-BFCC-7E46-2C14-0094FCDC6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21" y="79383"/>
          <a:ext cx="3332250" cy="5413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166693</xdr:colOff>
      <xdr:row>43</xdr:row>
      <xdr:rowOff>142875</xdr:rowOff>
    </xdr:from>
    <xdr:to>
      <xdr:col>9</xdr:col>
      <xdr:colOff>532097</xdr:colOff>
      <xdr:row>49</xdr:row>
      <xdr:rowOff>78961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A547A67-EC9F-4905-8533-7A259290E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7193" y="8334375"/>
          <a:ext cx="1024217" cy="1079086"/>
        </a:xfrm>
        <a:prstGeom prst="rect">
          <a:avLst/>
        </a:prstGeom>
      </xdr:spPr>
    </xdr:pic>
    <xdr:clientData/>
  </xdr:twoCellAnchor>
  <xdr:twoCellAnchor editAs="oneCell">
    <xdr:from>
      <xdr:col>0</xdr:col>
      <xdr:colOff>79380</xdr:colOff>
      <xdr:row>0</xdr:row>
      <xdr:rowOff>79380</xdr:rowOff>
    </xdr:from>
    <xdr:to>
      <xdr:col>5</xdr:col>
      <xdr:colOff>117567</xdr:colOff>
      <xdr:row>3</xdr:row>
      <xdr:rowOff>49233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C40D6B4-CC16-4605-A28A-8FF162820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0" y="79380"/>
          <a:ext cx="3332250" cy="5413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547692</xdr:colOff>
      <xdr:row>45</xdr:row>
      <xdr:rowOff>87312</xdr:rowOff>
    </xdr:from>
    <xdr:to>
      <xdr:col>9</xdr:col>
      <xdr:colOff>524605</xdr:colOff>
      <xdr:row>49</xdr:row>
      <xdr:rowOff>117312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AD7C174-5496-42FC-AC22-418202072E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70" r="24928"/>
        <a:stretch/>
      </xdr:blipFill>
      <xdr:spPr>
        <a:xfrm>
          <a:off x="5818192" y="8659812"/>
          <a:ext cx="635726" cy="792000"/>
        </a:xfrm>
        <a:prstGeom prst="rect">
          <a:avLst/>
        </a:prstGeom>
      </xdr:spPr>
    </xdr:pic>
    <xdr:clientData/>
  </xdr:twoCellAnchor>
  <xdr:twoCellAnchor editAs="oneCell">
    <xdr:from>
      <xdr:col>8</xdr:col>
      <xdr:colOff>579433</xdr:colOff>
      <xdr:row>95</xdr:row>
      <xdr:rowOff>71430</xdr:rowOff>
    </xdr:from>
    <xdr:to>
      <xdr:col>9</xdr:col>
      <xdr:colOff>556346</xdr:colOff>
      <xdr:row>99</xdr:row>
      <xdr:rowOff>101430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A7613CB0-F2EA-472D-B510-7CB4EEFD8D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70" r="24928"/>
        <a:stretch/>
      </xdr:blipFill>
      <xdr:spPr>
        <a:xfrm>
          <a:off x="5849933" y="18145118"/>
          <a:ext cx="635726" cy="792000"/>
        </a:xfrm>
        <a:prstGeom prst="rect">
          <a:avLst/>
        </a:prstGeom>
      </xdr:spPr>
    </xdr:pic>
    <xdr:clientData/>
  </xdr:twoCellAnchor>
  <xdr:twoCellAnchor editAs="oneCell">
    <xdr:from>
      <xdr:col>8</xdr:col>
      <xdr:colOff>579436</xdr:colOff>
      <xdr:row>145</xdr:row>
      <xdr:rowOff>71443</xdr:rowOff>
    </xdr:from>
    <xdr:to>
      <xdr:col>9</xdr:col>
      <xdr:colOff>556349</xdr:colOff>
      <xdr:row>149</xdr:row>
      <xdr:rowOff>101443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5FF93A09-29D5-46CE-ABF0-E3CDC6616C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70" r="24928"/>
        <a:stretch/>
      </xdr:blipFill>
      <xdr:spPr>
        <a:xfrm>
          <a:off x="5849936" y="27670131"/>
          <a:ext cx="635726" cy="792000"/>
        </a:xfrm>
        <a:prstGeom prst="rect">
          <a:avLst/>
        </a:prstGeom>
      </xdr:spPr>
    </xdr:pic>
    <xdr:clientData/>
  </xdr:twoCellAnchor>
  <xdr:twoCellAnchor editAs="oneCell">
    <xdr:from>
      <xdr:col>0</xdr:col>
      <xdr:colOff>79380</xdr:colOff>
      <xdr:row>0</xdr:row>
      <xdr:rowOff>79380</xdr:rowOff>
    </xdr:from>
    <xdr:to>
      <xdr:col>5</xdr:col>
      <xdr:colOff>117567</xdr:colOff>
      <xdr:row>3</xdr:row>
      <xdr:rowOff>49233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0EE170B-5661-4A17-8B1B-F32699BF5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0" y="79380"/>
          <a:ext cx="3332250" cy="541353"/>
        </a:xfrm>
        <a:prstGeom prst="rect">
          <a:avLst/>
        </a:prstGeom>
      </xdr:spPr>
    </xdr:pic>
    <xdr:clientData/>
  </xdr:twoCellAnchor>
  <xdr:oneCellAnchor>
    <xdr:from>
      <xdr:col>0</xdr:col>
      <xdr:colOff>79380</xdr:colOff>
      <xdr:row>50</xdr:row>
      <xdr:rowOff>79380</xdr:rowOff>
    </xdr:from>
    <xdr:ext cx="3332250" cy="541353"/>
    <xdr:pic>
      <xdr:nvPicPr>
        <xdr:cNvPr id="4" name="Obrázek 3">
          <a:extLst>
            <a:ext uri="{FF2B5EF4-FFF2-40B4-BE49-F238E27FC236}">
              <a16:creationId xmlns:a16="http://schemas.microsoft.com/office/drawing/2014/main" id="{3F89EDD0-18B6-48CD-A3A8-67F6A2267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0" y="79380"/>
          <a:ext cx="3332250" cy="541353"/>
        </a:xfrm>
        <a:prstGeom prst="rect">
          <a:avLst/>
        </a:prstGeom>
      </xdr:spPr>
    </xdr:pic>
    <xdr:clientData/>
  </xdr:oneCellAnchor>
  <xdr:oneCellAnchor>
    <xdr:from>
      <xdr:col>0</xdr:col>
      <xdr:colOff>79380</xdr:colOff>
      <xdr:row>100</xdr:row>
      <xdr:rowOff>79380</xdr:rowOff>
    </xdr:from>
    <xdr:ext cx="3332250" cy="541353"/>
    <xdr:pic>
      <xdr:nvPicPr>
        <xdr:cNvPr id="8" name="Obrázek 7">
          <a:extLst>
            <a:ext uri="{FF2B5EF4-FFF2-40B4-BE49-F238E27FC236}">
              <a16:creationId xmlns:a16="http://schemas.microsoft.com/office/drawing/2014/main" id="{2D2D2953-C56B-417B-A79C-6BCC8D0E5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0" y="79380"/>
          <a:ext cx="3332250" cy="54135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619135</xdr:colOff>
      <xdr:row>45</xdr:row>
      <xdr:rowOff>111124</xdr:rowOff>
    </xdr:from>
    <xdr:to>
      <xdr:col>9</xdr:col>
      <xdr:colOff>538505</xdr:colOff>
      <xdr:row>49</xdr:row>
      <xdr:rowOff>69124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791691F4-4805-4A24-88BB-EBFFC9ED6F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5" t="4494" r="25449" b="5637"/>
        <a:stretch/>
      </xdr:blipFill>
      <xdr:spPr>
        <a:xfrm>
          <a:off x="5889635" y="8683624"/>
          <a:ext cx="578183" cy="720000"/>
        </a:xfrm>
        <a:prstGeom prst="rect">
          <a:avLst/>
        </a:prstGeom>
      </xdr:spPr>
    </xdr:pic>
    <xdr:clientData/>
  </xdr:twoCellAnchor>
  <xdr:twoCellAnchor editAs="oneCell">
    <xdr:from>
      <xdr:col>8</xdr:col>
      <xdr:colOff>627068</xdr:colOff>
      <xdr:row>95</xdr:row>
      <xdr:rowOff>111125</xdr:rowOff>
    </xdr:from>
    <xdr:to>
      <xdr:col>9</xdr:col>
      <xdr:colOff>546438</xdr:colOff>
      <xdr:row>99</xdr:row>
      <xdr:rowOff>69125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23B874CA-C3F9-45D2-889E-FDDF4333A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5" t="4494" r="25449" b="5637"/>
        <a:stretch/>
      </xdr:blipFill>
      <xdr:spPr>
        <a:xfrm>
          <a:off x="5897568" y="18184813"/>
          <a:ext cx="578183" cy="720000"/>
        </a:xfrm>
        <a:prstGeom prst="rect">
          <a:avLst/>
        </a:prstGeom>
      </xdr:spPr>
    </xdr:pic>
    <xdr:clientData/>
  </xdr:twoCellAnchor>
  <xdr:twoCellAnchor editAs="oneCell">
    <xdr:from>
      <xdr:col>8</xdr:col>
      <xdr:colOff>611190</xdr:colOff>
      <xdr:row>145</xdr:row>
      <xdr:rowOff>111126</xdr:rowOff>
    </xdr:from>
    <xdr:to>
      <xdr:col>9</xdr:col>
      <xdr:colOff>530560</xdr:colOff>
      <xdr:row>149</xdr:row>
      <xdr:rowOff>69126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3CDAE673-4382-4F86-9DEE-F2247709CB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5" t="4494" r="25449" b="5637"/>
        <a:stretch/>
      </xdr:blipFill>
      <xdr:spPr>
        <a:xfrm>
          <a:off x="5881690" y="27709814"/>
          <a:ext cx="578183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79380</xdr:colOff>
      <xdr:row>0</xdr:row>
      <xdr:rowOff>79380</xdr:rowOff>
    </xdr:from>
    <xdr:to>
      <xdr:col>5</xdr:col>
      <xdr:colOff>117567</xdr:colOff>
      <xdr:row>3</xdr:row>
      <xdr:rowOff>49233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DA4CE61-AF27-4826-9D12-7C42530BF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0" y="79380"/>
          <a:ext cx="3332250" cy="541353"/>
        </a:xfrm>
        <a:prstGeom prst="rect">
          <a:avLst/>
        </a:prstGeom>
      </xdr:spPr>
    </xdr:pic>
    <xdr:clientData/>
  </xdr:twoCellAnchor>
  <xdr:oneCellAnchor>
    <xdr:from>
      <xdr:col>0</xdr:col>
      <xdr:colOff>79380</xdr:colOff>
      <xdr:row>50</xdr:row>
      <xdr:rowOff>79380</xdr:rowOff>
    </xdr:from>
    <xdr:ext cx="3332250" cy="541353"/>
    <xdr:pic>
      <xdr:nvPicPr>
        <xdr:cNvPr id="6" name="Obrázek 5">
          <a:extLst>
            <a:ext uri="{FF2B5EF4-FFF2-40B4-BE49-F238E27FC236}">
              <a16:creationId xmlns:a16="http://schemas.microsoft.com/office/drawing/2014/main" id="{237997D3-883D-4ED4-AA49-7E357D65D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0" y="79380"/>
          <a:ext cx="3332250" cy="541353"/>
        </a:xfrm>
        <a:prstGeom prst="rect">
          <a:avLst/>
        </a:prstGeom>
      </xdr:spPr>
    </xdr:pic>
    <xdr:clientData/>
  </xdr:oneCellAnchor>
  <xdr:oneCellAnchor>
    <xdr:from>
      <xdr:col>0</xdr:col>
      <xdr:colOff>79380</xdr:colOff>
      <xdr:row>100</xdr:row>
      <xdr:rowOff>79380</xdr:rowOff>
    </xdr:from>
    <xdr:ext cx="3332250" cy="541353"/>
    <xdr:pic>
      <xdr:nvPicPr>
        <xdr:cNvPr id="7" name="Obrázek 6">
          <a:extLst>
            <a:ext uri="{FF2B5EF4-FFF2-40B4-BE49-F238E27FC236}">
              <a16:creationId xmlns:a16="http://schemas.microsoft.com/office/drawing/2014/main" id="{182A810F-AF20-4DFF-A7B3-4D6FFB11D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0" y="79380"/>
          <a:ext cx="3332250" cy="54135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634999</xdr:colOff>
      <xdr:row>45</xdr:row>
      <xdr:rowOff>119060</xdr:rowOff>
    </xdr:from>
    <xdr:to>
      <xdr:col>9</xdr:col>
      <xdr:colOff>554369</xdr:colOff>
      <xdr:row>49</xdr:row>
      <xdr:rowOff>77060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4D1B5956-5F83-4971-A31B-D0D78E9E9F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5" t="4494" r="25449" b="5637"/>
        <a:stretch/>
      </xdr:blipFill>
      <xdr:spPr>
        <a:xfrm>
          <a:off x="5905499" y="8691560"/>
          <a:ext cx="578183" cy="720000"/>
        </a:xfrm>
        <a:prstGeom prst="rect">
          <a:avLst/>
        </a:prstGeom>
      </xdr:spPr>
    </xdr:pic>
    <xdr:clientData/>
  </xdr:twoCellAnchor>
  <xdr:twoCellAnchor editAs="oneCell">
    <xdr:from>
      <xdr:col>8</xdr:col>
      <xdr:colOff>635001</xdr:colOff>
      <xdr:row>95</xdr:row>
      <xdr:rowOff>119063</xdr:rowOff>
    </xdr:from>
    <xdr:to>
      <xdr:col>9</xdr:col>
      <xdr:colOff>554371</xdr:colOff>
      <xdr:row>99</xdr:row>
      <xdr:rowOff>77063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663D433-277B-4807-8D0C-8792047116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5" t="4494" r="25449" b="5637"/>
        <a:stretch/>
      </xdr:blipFill>
      <xdr:spPr>
        <a:xfrm>
          <a:off x="5905501" y="18192751"/>
          <a:ext cx="578183" cy="720000"/>
        </a:xfrm>
        <a:prstGeom prst="rect">
          <a:avLst/>
        </a:prstGeom>
      </xdr:spPr>
    </xdr:pic>
    <xdr:clientData/>
  </xdr:twoCellAnchor>
  <xdr:twoCellAnchor editAs="oneCell">
    <xdr:from>
      <xdr:col>8</xdr:col>
      <xdr:colOff>619124</xdr:colOff>
      <xdr:row>145</xdr:row>
      <xdr:rowOff>103189</xdr:rowOff>
    </xdr:from>
    <xdr:to>
      <xdr:col>9</xdr:col>
      <xdr:colOff>538494</xdr:colOff>
      <xdr:row>149</xdr:row>
      <xdr:rowOff>61189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9CA41A2-411E-4827-8FE5-289D07FC5D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5" t="4494" r="25449" b="5637"/>
        <a:stretch/>
      </xdr:blipFill>
      <xdr:spPr>
        <a:xfrm>
          <a:off x="5889624" y="27701877"/>
          <a:ext cx="578183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79380</xdr:colOff>
      <xdr:row>0</xdr:row>
      <xdr:rowOff>79380</xdr:rowOff>
    </xdr:from>
    <xdr:to>
      <xdr:col>5</xdr:col>
      <xdr:colOff>117567</xdr:colOff>
      <xdr:row>3</xdr:row>
      <xdr:rowOff>49233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6B0631F8-9E14-4C4D-8DE9-A101ED6F4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0" y="79380"/>
          <a:ext cx="3332250" cy="541353"/>
        </a:xfrm>
        <a:prstGeom prst="rect">
          <a:avLst/>
        </a:prstGeom>
      </xdr:spPr>
    </xdr:pic>
    <xdr:clientData/>
  </xdr:twoCellAnchor>
  <xdr:oneCellAnchor>
    <xdr:from>
      <xdr:col>0</xdr:col>
      <xdr:colOff>79380</xdr:colOff>
      <xdr:row>50</xdr:row>
      <xdr:rowOff>79380</xdr:rowOff>
    </xdr:from>
    <xdr:ext cx="3332250" cy="541353"/>
    <xdr:pic>
      <xdr:nvPicPr>
        <xdr:cNvPr id="9" name="Obrázek 8">
          <a:extLst>
            <a:ext uri="{FF2B5EF4-FFF2-40B4-BE49-F238E27FC236}">
              <a16:creationId xmlns:a16="http://schemas.microsoft.com/office/drawing/2014/main" id="{3A357A5D-6C13-4511-9095-43C965A57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0" y="79380"/>
          <a:ext cx="3332250" cy="541353"/>
        </a:xfrm>
        <a:prstGeom prst="rect">
          <a:avLst/>
        </a:prstGeom>
      </xdr:spPr>
    </xdr:pic>
    <xdr:clientData/>
  </xdr:oneCellAnchor>
  <xdr:oneCellAnchor>
    <xdr:from>
      <xdr:col>0</xdr:col>
      <xdr:colOff>79380</xdr:colOff>
      <xdr:row>100</xdr:row>
      <xdr:rowOff>79380</xdr:rowOff>
    </xdr:from>
    <xdr:ext cx="3332250" cy="541353"/>
    <xdr:pic>
      <xdr:nvPicPr>
        <xdr:cNvPr id="10" name="Obrázek 9">
          <a:extLst>
            <a:ext uri="{FF2B5EF4-FFF2-40B4-BE49-F238E27FC236}">
              <a16:creationId xmlns:a16="http://schemas.microsoft.com/office/drawing/2014/main" id="{C9FECB4E-D23E-4C69-8CDE-6D374A8B6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0" y="79380"/>
          <a:ext cx="3332250" cy="54135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15875</xdr:colOff>
      <xdr:row>44</xdr:row>
      <xdr:rowOff>47622</xdr:rowOff>
    </xdr:from>
    <xdr:to>
      <xdr:col>9</xdr:col>
      <xdr:colOff>611191</xdr:colOff>
      <xdr:row>49</xdr:row>
      <xdr:rowOff>142873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1B0B0F3-56FB-4500-B847-EAF94E0DF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27"/>
        <a:stretch/>
      </xdr:blipFill>
      <xdr:spPr>
        <a:xfrm>
          <a:off x="5286375" y="8429622"/>
          <a:ext cx="1254129" cy="1047751"/>
        </a:xfrm>
        <a:prstGeom prst="rect">
          <a:avLst/>
        </a:prstGeom>
      </xdr:spPr>
    </xdr:pic>
    <xdr:clientData/>
  </xdr:twoCellAnchor>
  <xdr:twoCellAnchor editAs="oneCell">
    <xdr:from>
      <xdr:col>8</xdr:col>
      <xdr:colOff>23814</xdr:colOff>
      <xdr:row>94</xdr:row>
      <xdr:rowOff>47620</xdr:rowOff>
    </xdr:from>
    <xdr:to>
      <xdr:col>9</xdr:col>
      <xdr:colOff>619130</xdr:colOff>
      <xdr:row>99</xdr:row>
      <xdr:rowOff>142871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4110D9EC-A6B0-4B61-B12E-283A475682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27"/>
        <a:stretch/>
      </xdr:blipFill>
      <xdr:spPr>
        <a:xfrm>
          <a:off x="5294314" y="17930808"/>
          <a:ext cx="1254129" cy="1047751"/>
        </a:xfrm>
        <a:prstGeom prst="rect">
          <a:avLst/>
        </a:prstGeom>
      </xdr:spPr>
    </xdr:pic>
    <xdr:clientData/>
  </xdr:twoCellAnchor>
  <xdr:twoCellAnchor editAs="oneCell">
    <xdr:from>
      <xdr:col>8</xdr:col>
      <xdr:colOff>7941</xdr:colOff>
      <xdr:row>144</xdr:row>
      <xdr:rowOff>47625</xdr:rowOff>
    </xdr:from>
    <xdr:to>
      <xdr:col>9</xdr:col>
      <xdr:colOff>603257</xdr:colOff>
      <xdr:row>149</xdr:row>
      <xdr:rowOff>142876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560E370F-4A66-4052-8B88-39399C8C05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27"/>
        <a:stretch/>
      </xdr:blipFill>
      <xdr:spPr>
        <a:xfrm>
          <a:off x="5278441" y="27455813"/>
          <a:ext cx="1254129" cy="1047751"/>
        </a:xfrm>
        <a:prstGeom prst="rect">
          <a:avLst/>
        </a:prstGeom>
      </xdr:spPr>
    </xdr:pic>
    <xdr:clientData/>
  </xdr:twoCellAnchor>
  <xdr:twoCellAnchor editAs="oneCell">
    <xdr:from>
      <xdr:col>0</xdr:col>
      <xdr:colOff>79380</xdr:colOff>
      <xdr:row>0</xdr:row>
      <xdr:rowOff>79380</xdr:rowOff>
    </xdr:from>
    <xdr:to>
      <xdr:col>5</xdr:col>
      <xdr:colOff>117567</xdr:colOff>
      <xdr:row>3</xdr:row>
      <xdr:rowOff>49233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AA81C96-1653-414D-B282-8B3F1E918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0" y="79380"/>
          <a:ext cx="3332250" cy="541353"/>
        </a:xfrm>
        <a:prstGeom prst="rect">
          <a:avLst/>
        </a:prstGeom>
      </xdr:spPr>
    </xdr:pic>
    <xdr:clientData/>
  </xdr:twoCellAnchor>
  <xdr:oneCellAnchor>
    <xdr:from>
      <xdr:col>0</xdr:col>
      <xdr:colOff>79380</xdr:colOff>
      <xdr:row>50</xdr:row>
      <xdr:rowOff>79380</xdr:rowOff>
    </xdr:from>
    <xdr:ext cx="3332250" cy="541353"/>
    <xdr:pic>
      <xdr:nvPicPr>
        <xdr:cNvPr id="7" name="Obrázek 6">
          <a:extLst>
            <a:ext uri="{FF2B5EF4-FFF2-40B4-BE49-F238E27FC236}">
              <a16:creationId xmlns:a16="http://schemas.microsoft.com/office/drawing/2014/main" id="{CF25E756-04C6-4D0D-AC7C-DA12DFCD5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0" y="79380"/>
          <a:ext cx="3332250" cy="541353"/>
        </a:xfrm>
        <a:prstGeom prst="rect">
          <a:avLst/>
        </a:prstGeom>
      </xdr:spPr>
    </xdr:pic>
    <xdr:clientData/>
  </xdr:oneCellAnchor>
  <xdr:oneCellAnchor>
    <xdr:from>
      <xdr:col>0</xdr:col>
      <xdr:colOff>79380</xdr:colOff>
      <xdr:row>100</xdr:row>
      <xdr:rowOff>79380</xdr:rowOff>
    </xdr:from>
    <xdr:ext cx="3332250" cy="541353"/>
    <xdr:pic>
      <xdr:nvPicPr>
        <xdr:cNvPr id="8" name="Obrázek 7">
          <a:extLst>
            <a:ext uri="{FF2B5EF4-FFF2-40B4-BE49-F238E27FC236}">
              <a16:creationId xmlns:a16="http://schemas.microsoft.com/office/drawing/2014/main" id="{338CDBCB-707E-4E28-916F-CCB8548AB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0" y="79380"/>
          <a:ext cx="3332250" cy="54135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87318</xdr:colOff>
      <xdr:row>144</xdr:row>
      <xdr:rowOff>55563</xdr:rowOff>
    </xdr:from>
    <xdr:to>
      <xdr:col>9</xdr:col>
      <xdr:colOff>603255</xdr:colOff>
      <xdr:row>149</xdr:row>
      <xdr:rowOff>150813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3E1BCF7-EDAF-4C6B-BC79-431499C425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r="9091"/>
        <a:stretch/>
      </xdr:blipFill>
      <xdr:spPr>
        <a:xfrm>
          <a:off x="5357818" y="27463751"/>
          <a:ext cx="1174750" cy="1047750"/>
        </a:xfrm>
        <a:prstGeom prst="rect">
          <a:avLst/>
        </a:prstGeom>
      </xdr:spPr>
    </xdr:pic>
    <xdr:clientData/>
  </xdr:twoCellAnchor>
  <xdr:twoCellAnchor editAs="oneCell">
    <xdr:from>
      <xdr:col>8</xdr:col>
      <xdr:colOff>103187</xdr:colOff>
      <xdr:row>94</xdr:row>
      <xdr:rowOff>55562</xdr:rowOff>
    </xdr:from>
    <xdr:to>
      <xdr:col>9</xdr:col>
      <xdr:colOff>619124</xdr:colOff>
      <xdr:row>99</xdr:row>
      <xdr:rowOff>150812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884C5757-00EC-47D4-85DA-A365212C40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r="9091"/>
        <a:stretch/>
      </xdr:blipFill>
      <xdr:spPr>
        <a:xfrm>
          <a:off x="5373687" y="17938750"/>
          <a:ext cx="1174750" cy="1047750"/>
        </a:xfrm>
        <a:prstGeom prst="rect">
          <a:avLst/>
        </a:prstGeom>
      </xdr:spPr>
    </xdr:pic>
    <xdr:clientData/>
  </xdr:twoCellAnchor>
  <xdr:twoCellAnchor editAs="oneCell">
    <xdr:from>
      <xdr:col>8</xdr:col>
      <xdr:colOff>95247</xdr:colOff>
      <xdr:row>44</xdr:row>
      <xdr:rowOff>55561</xdr:rowOff>
    </xdr:from>
    <xdr:to>
      <xdr:col>9</xdr:col>
      <xdr:colOff>611184</xdr:colOff>
      <xdr:row>49</xdr:row>
      <xdr:rowOff>150811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7B438B9C-34AB-4C0E-8AA7-FE0FDDAD56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r="9091"/>
        <a:stretch/>
      </xdr:blipFill>
      <xdr:spPr>
        <a:xfrm>
          <a:off x="5365747" y="8437561"/>
          <a:ext cx="1174750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79380</xdr:colOff>
      <xdr:row>0</xdr:row>
      <xdr:rowOff>79380</xdr:rowOff>
    </xdr:from>
    <xdr:to>
      <xdr:col>5</xdr:col>
      <xdr:colOff>117567</xdr:colOff>
      <xdr:row>3</xdr:row>
      <xdr:rowOff>49233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406253A2-A178-4145-A663-DD33A3520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0" y="79380"/>
          <a:ext cx="3332250" cy="541353"/>
        </a:xfrm>
        <a:prstGeom prst="rect">
          <a:avLst/>
        </a:prstGeom>
      </xdr:spPr>
    </xdr:pic>
    <xdr:clientData/>
  </xdr:twoCellAnchor>
  <xdr:oneCellAnchor>
    <xdr:from>
      <xdr:col>0</xdr:col>
      <xdr:colOff>79380</xdr:colOff>
      <xdr:row>50</xdr:row>
      <xdr:rowOff>79380</xdr:rowOff>
    </xdr:from>
    <xdr:ext cx="3332250" cy="541353"/>
    <xdr:pic>
      <xdr:nvPicPr>
        <xdr:cNvPr id="6" name="Obrázek 5">
          <a:extLst>
            <a:ext uri="{FF2B5EF4-FFF2-40B4-BE49-F238E27FC236}">
              <a16:creationId xmlns:a16="http://schemas.microsoft.com/office/drawing/2014/main" id="{54C166FF-2E11-46F8-9666-A4E1ADA4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0" y="79380"/>
          <a:ext cx="3332250" cy="541353"/>
        </a:xfrm>
        <a:prstGeom prst="rect">
          <a:avLst/>
        </a:prstGeom>
      </xdr:spPr>
    </xdr:pic>
    <xdr:clientData/>
  </xdr:oneCellAnchor>
  <xdr:oneCellAnchor>
    <xdr:from>
      <xdr:col>0</xdr:col>
      <xdr:colOff>79380</xdr:colOff>
      <xdr:row>100</xdr:row>
      <xdr:rowOff>79380</xdr:rowOff>
    </xdr:from>
    <xdr:ext cx="3332250" cy="541353"/>
    <xdr:pic>
      <xdr:nvPicPr>
        <xdr:cNvPr id="7" name="Obrázek 6">
          <a:extLst>
            <a:ext uri="{FF2B5EF4-FFF2-40B4-BE49-F238E27FC236}">
              <a16:creationId xmlns:a16="http://schemas.microsoft.com/office/drawing/2014/main" id="{8624F9B9-D633-45CD-B329-C4C5DBCBA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0" y="79380"/>
          <a:ext cx="3332250" cy="54135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95259</xdr:colOff>
      <xdr:row>40</xdr:row>
      <xdr:rowOff>160284</xdr:rowOff>
    </xdr:from>
    <xdr:to>
      <xdr:col>9</xdr:col>
      <xdr:colOff>555631</xdr:colOff>
      <xdr:row>49</xdr:row>
      <xdr:rowOff>64011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CA8E385-8EE9-4DD2-9C49-CD7E4AEA18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55" r="9814" b="4528"/>
        <a:stretch/>
      </xdr:blipFill>
      <xdr:spPr>
        <a:xfrm>
          <a:off x="5365759" y="7780284"/>
          <a:ext cx="1119185" cy="1618227"/>
        </a:xfrm>
        <a:prstGeom prst="rect">
          <a:avLst/>
        </a:prstGeom>
      </xdr:spPr>
    </xdr:pic>
    <xdr:clientData/>
  </xdr:twoCellAnchor>
  <xdr:twoCellAnchor editAs="oneCell">
    <xdr:from>
      <xdr:col>0</xdr:col>
      <xdr:colOff>79380</xdr:colOff>
      <xdr:row>0</xdr:row>
      <xdr:rowOff>87314</xdr:rowOff>
    </xdr:from>
    <xdr:to>
      <xdr:col>5</xdr:col>
      <xdr:colOff>117567</xdr:colOff>
      <xdr:row>3</xdr:row>
      <xdr:rowOff>57167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0D8C5B7-5F2C-4170-95F6-6E8EBAC90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0" y="87314"/>
          <a:ext cx="3332250" cy="5413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476259</xdr:colOff>
      <xdr:row>45</xdr:row>
      <xdr:rowOff>158755</xdr:rowOff>
    </xdr:from>
    <xdr:to>
      <xdr:col>9</xdr:col>
      <xdr:colOff>539759</xdr:colOff>
      <xdr:row>49</xdr:row>
      <xdr:rowOff>119068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A65C810-3F9B-429C-B796-3FFD895EA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6759" y="8731255"/>
          <a:ext cx="722313" cy="722313"/>
        </a:xfrm>
        <a:prstGeom prst="rect">
          <a:avLst/>
        </a:prstGeom>
      </xdr:spPr>
    </xdr:pic>
    <xdr:clientData/>
  </xdr:twoCellAnchor>
  <xdr:twoCellAnchor editAs="oneCell">
    <xdr:from>
      <xdr:col>0</xdr:col>
      <xdr:colOff>79380</xdr:colOff>
      <xdr:row>0</xdr:row>
      <xdr:rowOff>79380</xdr:rowOff>
    </xdr:from>
    <xdr:to>
      <xdr:col>5</xdr:col>
      <xdr:colOff>117567</xdr:colOff>
      <xdr:row>3</xdr:row>
      <xdr:rowOff>49233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F615FA2-15EA-4E03-A6E2-3431ED733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0" y="79380"/>
          <a:ext cx="3332250" cy="54135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44</xdr:row>
      <xdr:rowOff>40859</xdr:rowOff>
    </xdr:from>
    <xdr:to>
      <xdr:col>9</xdr:col>
      <xdr:colOff>585218</xdr:colOff>
      <xdr:row>49</xdr:row>
      <xdr:rowOff>164474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7F8568B-ED7B-4D8F-BF8D-5F7EB3EC8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8422859"/>
          <a:ext cx="1156718" cy="1065532"/>
        </a:xfrm>
        <a:prstGeom prst="rect">
          <a:avLst/>
        </a:prstGeom>
      </xdr:spPr>
    </xdr:pic>
    <xdr:clientData/>
  </xdr:twoCellAnchor>
  <xdr:twoCellAnchor editAs="oneCell">
    <xdr:from>
      <xdr:col>0</xdr:col>
      <xdr:colOff>79380</xdr:colOff>
      <xdr:row>0</xdr:row>
      <xdr:rowOff>79380</xdr:rowOff>
    </xdr:from>
    <xdr:to>
      <xdr:col>5</xdr:col>
      <xdr:colOff>117567</xdr:colOff>
      <xdr:row>3</xdr:row>
      <xdr:rowOff>49233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4F97801-AA15-4A64-9B78-352BFD365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0" y="79380"/>
          <a:ext cx="3332250" cy="54135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410640</xdr:colOff>
      <xdr:row>43</xdr:row>
      <xdr:rowOff>47625</xdr:rowOff>
    </xdr:from>
    <xdr:to>
      <xdr:col>9</xdr:col>
      <xdr:colOff>553618</xdr:colOff>
      <xdr:row>49</xdr:row>
      <xdr:rowOff>87320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4D3FFAD-9CE1-406C-B4BF-2586886D9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3515" y="8239125"/>
          <a:ext cx="2119416" cy="1182695"/>
        </a:xfrm>
        <a:prstGeom prst="rect">
          <a:avLst/>
        </a:prstGeom>
      </xdr:spPr>
    </xdr:pic>
    <xdr:clientData/>
  </xdr:twoCellAnchor>
  <xdr:twoCellAnchor editAs="oneCell">
    <xdr:from>
      <xdr:col>0</xdr:col>
      <xdr:colOff>79380</xdr:colOff>
      <xdr:row>0</xdr:row>
      <xdr:rowOff>79380</xdr:rowOff>
    </xdr:from>
    <xdr:to>
      <xdr:col>5</xdr:col>
      <xdr:colOff>117567</xdr:colOff>
      <xdr:row>3</xdr:row>
      <xdr:rowOff>49233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3803FC0-13F0-4653-9D89-8DD31F48E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0" y="79380"/>
          <a:ext cx="3332250" cy="54135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650874</xdr:colOff>
      <xdr:row>43</xdr:row>
      <xdr:rowOff>119063</xdr:rowOff>
    </xdr:from>
    <xdr:to>
      <xdr:col>9</xdr:col>
      <xdr:colOff>596766</xdr:colOff>
      <xdr:row>49</xdr:row>
      <xdr:rowOff>127002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CB53709-3390-46B6-8248-C96F4774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4" r="5381"/>
        <a:stretch/>
      </xdr:blipFill>
      <xdr:spPr>
        <a:xfrm>
          <a:off x="5262562" y="8310563"/>
          <a:ext cx="1263517" cy="1150939"/>
        </a:xfrm>
        <a:prstGeom prst="rect">
          <a:avLst/>
        </a:prstGeom>
      </xdr:spPr>
    </xdr:pic>
    <xdr:clientData/>
  </xdr:twoCellAnchor>
  <xdr:twoCellAnchor editAs="oneCell">
    <xdr:from>
      <xdr:col>0</xdr:col>
      <xdr:colOff>79380</xdr:colOff>
      <xdr:row>0</xdr:row>
      <xdr:rowOff>79380</xdr:rowOff>
    </xdr:from>
    <xdr:to>
      <xdr:col>5</xdr:col>
      <xdr:colOff>117567</xdr:colOff>
      <xdr:row>3</xdr:row>
      <xdr:rowOff>49233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55EA364-C588-430E-8439-1A725D9FF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0" y="79380"/>
          <a:ext cx="3332250" cy="54135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J56"/>
  <sheetViews>
    <sheetView showGridLines="0" tabSelected="1" view="pageBreakPreview" zoomScale="120" zoomScaleNormal="120" zoomScaleSheetLayoutView="120" workbookViewId="0">
      <selection activeCell="I17" sqref="I17:J20"/>
    </sheetView>
  </sheetViews>
  <sheetFormatPr defaultColWidth="9" defaultRowHeight="14.25" x14ac:dyDescent="0.2"/>
  <cols>
    <col min="1" max="25" width="8.625" style="1" customWidth="1"/>
    <col min="26" max="16384" width="9" style="1"/>
  </cols>
  <sheetData>
    <row r="1" spans="1:10" ht="15" customHeight="1" thickBot="1" x14ac:dyDescent="0.25">
      <c r="I1" s="49" t="s">
        <v>194</v>
      </c>
      <c r="J1" s="49"/>
    </row>
    <row r="2" spans="1:10" ht="15" customHeight="1" x14ac:dyDescent="0.2">
      <c r="I2" s="51">
        <v>45017</v>
      </c>
      <c r="J2" s="52"/>
    </row>
    <row r="3" spans="1:10" ht="15" customHeight="1" thickBot="1" x14ac:dyDescent="0.25">
      <c r="I3" s="53"/>
      <c r="J3" s="54"/>
    </row>
    <row r="4" spans="1:10" ht="15" customHeight="1" x14ac:dyDescent="0.2"/>
    <row r="5" spans="1:10" ht="15" customHeight="1" x14ac:dyDescent="0.2"/>
    <row r="6" spans="1:10" ht="15" customHeight="1" x14ac:dyDescent="0.2">
      <c r="A6" s="50" t="s">
        <v>220</v>
      </c>
      <c r="B6" s="50"/>
      <c r="C6" s="50"/>
      <c r="D6" s="50"/>
      <c r="E6" s="50"/>
      <c r="F6" s="50"/>
      <c r="G6" s="50"/>
      <c r="H6" s="50"/>
    </row>
    <row r="7" spans="1:10" ht="15" customHeight="1" x14ac:dyDescent="0.2">
      <c r="A7" s="50"/>
      <c r="B7" s="50"/>
      <c r="C7" s="50"/>
      <c r="D7" s="50"/>
      <c r="E7" s="50"/>
      <c r="F7" s="50"/>
      <c r="G7" s="50"/>
      <c r="H7" s="50"/>
    </row>
    <row r="8" spans="1:10" ht="15" customHeight="1" x14ac:dyDescent="0.2">
      <c r="J8" s="2">
        <f>1-I2</f>
        <v>-45016</v>
      </c>
    </row>
    <row r="9" spans="1:10" ht="15" customHeight="1" x14ac:dyDescent="0.2">
      <c r="A9" s="26"/>
      <c r="B9" s="27"/>
      <c r="C9" s="28" t="s">
        <v>196</v>
      </c>
      <c r="D9" s="29"/>
      <c r="E9" s="29"/>
      <c r="F9" s="29"/>
      <c r="G9" s="29"/>
      <c r="H9" s="29"/>
      <c r="I9" s="29"/>
      <c r="J9" s="30"/>
    </row>
    <row r="10" spans="1:10" ht="15" customHeight="1" x14ac:dyDescent="0.2">
      <c r="A10" s="26"/>
      <c r="B10" s="27"/>
      <c r="C10" s="31"/>
      <c r="D10" s="32"/>
      <c r="E10" s="32"/>
      <c r="F10" s="32"/>
      <c r="G10" s="32"/>
      <c r="H10" s="32"/>
      <c r="I10" s="32"/>
      <c r="J10" s="33"/>
    </row>
    <row r="11" spans="1:10" ht="15" customHeight="1" x14ac:dyDescent="0.2">
      <c r="A11" s="26"/>
      <c r="B11" s="26"/>
      <c r="C11" s="34" t="s">
        <v>207</v>
      </c>
      <c r="D11" s="35"/>
      <c r="E11" s="35"/>
      <c r="F11" s="35"/>
      <c r="G11" s="35"/>
      <c r="H11" s="36"/>
      <c r="I11" s="43" t="s">
        <v>202</v>
      </c>
      <c r="J11" s="44"/>
    </row>
    <row r="12" spans="1:10" ht="15" customHeight="1" x14ac:dyDescent="0.2">
      <c r="A12" s="26"/>
      <c r="B12" s="26"/>
      <c r="C12" s="37"/>
      <c r="D12" s="38"/>
      <c r="E12" s="38"/>
      <c r="F12" s="38"/>
      <c r="G12" s="38"/>
      <c r="H12" s="39"/>
      <c r="I12" s="45"/>
      <c r="J12" s="46"/>
    </row>
    <row r="13" spans="1:10" ht="15" customHeight="1" x14ac:dyDescent="0.2">
      <c r="A13" s="26"/>
      <c r="B13" s="26"/>
      <c r="C13" s="37"/>
      <c r="D13" s="38"/>
      <c r="E13" s="38"/>
      <c r="F13" s="38"/>
      <c r="G13" s="38"/>
      <c r="H13" s="39"/>
      <c r="I13" s="45"/>
      <c r="J13" s="46"/>
    </row>
    <row r="14" spans="1:10" ht="15" customHeight="1" x14ac:dyDescent="0.2">
      <c r="A14" s="26"/>
      <c r="B14" s="26"/>
      <c r="C14" s="40"/>
      <c r="D14" s="41"/>
      <c r="E14" s="41"/>
      <c r="F14" s="41"/>
      <c r="G14" s="41"/>
      <c r="H14" s="42"/>
      <c r="I14" s="47"/>
      <c r="J14" s="48"/>
    </row>
    <row r="15" spans="1:10" ht="15" customHeight="1" x14ac:dyDescent="0.2">
      <c r="A15" s="26"/>
      <c r="B15" s="27"/>
      <c r="C15" s="28" t="s">
        <v>195</v>
      </c>
      <c r="D15" s="29"/>
      <c r="E15" s="29"/>
      <c r="F15" s="29"/>
      <c r="G15" s="29"/>
      <c r="H15" s="29"/>
      <c r="I15" s="29"/>
      <c r="J15" s="30"/>
    </row>
    <row r="16" spans="1:10" ht="15" customHeight="1" x14ac:dyDescent="0.2">
      <c r="A16" s="26"/>
      <c r="B16" s="27"/>
      <c r="C16" s="31"/>
      <c r="D16" s="32"/>
      <c r="E16" s="32"/>
      <c r="F16" s="32"/>
      <c r="G16" s="32"/>
      <c r="H16" s="32"/>
      <c r="I16" s="32"/>
      <c r="J16" s="33"/>
    </row>
    <row r="17" spans="1:10" ht="15" customHeight="1" x14ac:dyDescent="0.2">
      <c r="A17" s="26"/>
      <c r="B17" s="26"/>
      <c r="C17" s="34" t="s">
        <v>207</v>
      </c>
      <c r="D17" s="35"/>
      <c r="E17" s="35"/>
      <c r="F17" s="35"/>
      <c r="G17" s="35"/>
      <c r="H17" s="36"/>
      <c r="I17" s="43" t="s">
        <v>252</v>
      </c>
      <c r="J17" s="44"/>
    </row>
    <row r="18" spans="1:10" ht="15" customHeight="1" x14ac:dyDescent="0.2">
      <c r="A18" s="26"/>
      <c r="B18" s="26"/>
      <c r="C18" s="37"/>
      <c r="D18" s="38"/>
      <c r="E18" s="38"/>
      <c r="F18" s="38"/>
      <c r="G18" s="38"/>
      <c r="H18" s="39"/>
      <c r="I18" s="45"/>
      <c r="J18" s="46"/>
    </row>
    <row r="19" spans="1:10" ht="15" customHeight="1" x14ac:dyDescent="0.2">
      <c r="A19" s="26"/>
      <c r="B19" s="26"/>
      <c r="C19" s="37"/>
      <c r="D19" s="38"/>
      <c r="E19" s="38"/>
      <c r="F19" s="38"/>
      <c r="G19" s="38"/>
      <c r="H19" s="39"/>
      <c r="I19" s="45" t="s">
        <v>193</v>
      </c>
      <c r="J19" s="46"/>
    </row>
    <row r="20" spans="1:10" ht="15" customHeight="1" x14ac:dyDescent="0.2">
      <c r="A20" s="26"/>
      <c r="B20" s="26"/>
      <c r="C20" s="40"/>
      <c r="D20" s="41"/>
      <c r="E20" s="41"/>
      <c r="F20" s="41"/>
      <c r="G20" s="41"/>
      <c r="H20" s="42"/>
      <c r="I20" s="47"/>
      <c r="J20" s="48"/>
    </row>
    <row r="21" spans="1:10" ht="15" customHeight="1" x14ac:dyDescent="0.2">
      <c r="A21" s="26"/>
      <c r="B21" s="27"/>
      <c r="C21" s="28" t="s">
        <v>197</v>
      </c>
      <c r="D21" s="29"/>
      <c r="E21" s="29"/>
      <c r="F21" s="29"/>
      <c r="G21" s="29"/>
      <c r="H21" s="29"/>
      <c r="I21" s="29"/>
      <c r="J21" s="30"/>
    </row>
    <row r="22" spans="1:10" ht="15" customHeight="1" x14ac:dyDescent="0.2">
      <c r="A22" s="26"/>
      <c r="B22" s="27"/>
      <c r="C22" s="31"/>
      <c r="D22" s="32"/>
      <c r="E22" s="32"/>
      <c r="F22" s="32"/>
      <c r="G22" s="32"/>
      <c r="H22" s="32"/>
      <c r="I22" s="32"/>
      <c r="J22" s="33"/>
    </row>
    <row r="23" spans="1:10" ht="15" customHeight="1" x14ac:dyDescent="0.2">
      <c r="A23" s="26"/>
      <c r="B23" s="26"/>
      <c r="C23" s="34" t="s">
        <v>208</v>
      </c>
      <c r="D23" s="35"/>
      <c r="E23" s="35"/>
      <c r="F23" s="35"/>
      <c r="G23" s="35"/>
      <c r="H23" s="36"/>
      <c r="I23" s="43" t="s">
        <v>253</v>
      </c>
      <c r="J23" s="44"/>
    </row>
    <row r="24" spans="1:10" ht="15" customHeight="1" x14ac:dyDescent="0.2">
      <c r="A24" s="26"/>
      <c r="B24" s="26"/>
      <c r="C24" s="37"/>
      <c r="D24" s="38"/>
      <c r="E24" s="38"/>
      <c r="F24" s="38"/>
      <c r="G24" s="38"/>
      <c r="H24" s="39"/>
      <c r="I24" s="45"/>
      <c r="J24" s="46"/>
    </row>
    <row r="25" spans="1:10" ht="15" customHeight="1" x14ac:dyDescent="0.2">
      <c r="A25" s="26"/>
      <c r="B25" s="26"/>
      <c r="C25" s="37"/>
      <c r="D25" s="38"/>
      <c r="E25" s="38"/>
      <c r="F25" s="38"/>
      <c r="G25" s="38"/>
      <c r="H25" s="39"/>
      <c r="I25" s="45" t="s">
        <v>193</v>
      </c>
      <c r="J25" s="46"/>
    </row>
    <row r="26" spans="1:10" ht="15" customHeight="1" x14ac:dyDescent="0.2">
      <c r="A26" s="26"/>
      <c r="B26" s="26"/>
      <c r="C26" s="40"/>
      <c r="D26" s="41"/>
      <c r="E26" s="41"/>
      <c r="F26" s="41"/>
      <c r="G26" s="41"/>
      <c r="H26" s="42"/>
      <c r="I26" s="47"/>
      <c r="J26" s="48"/>
    </row>
    <row r="27" spans="1:10" ht="15" customHeight="1" x14ac:dyDescent="0.2">
      <c r="A27" s="26"/>
      <c r="B27" s="27"/>
      <c r="C27" s="28" t="s">
        <v>198</v>
      </c>
      <c r="D27" s="29"/>
      <c r="E27" s="29"/>
      <c r="F27" s="29"/>
      <c r="G27" s="29"/>
      <c r="H27" s="29"/>
      <c r="I27" s="29"/>
      <c r="J27" s="30"/>
    </row>
    <row r="28" spans="1:10" ht="15" customHeight="1" x14ac:dyDescent="0.2">
      <c r="A28" s="26"/>
      <c r="B28" s="27"/>
      <c r="C28" s="31"/>
      <c r="D28" s="32"/>
      <c r="E28" s="32"/>
      <c r="F28" s="32"/>
      <c r="G28" s="32"/>
      <c r="H28" s="32"/>
      <c r="I28" s="32"/>
      <c r="J28" s="33"/>
    </row>
    <row r="29" spans="1:10" ht="15" customHeight="1" x14ac:dyDescent="0.2">
      <c r="A29" s="26"/>
      <c r="B29" s="26"/>
      <c r="C29" s="34" t="s">
        <v>206</v>
      </c>
      <c r="D29" s="35"/>
      <c r="E29" s="35"/>
      <c r="F29" s="35"/>
      <c r="G29" s="35"/>
      <c r="H29" s="36"/>
      <c r="I29" s="43" t="s">
        <v>203</v>
      </c>
      <c r="J29" s="44"/>
    </row>
    <row r="30" spans="1:10" ht="15" customHeight="1" x14ac:dyDescent="0.2">
      <c r="A30" s="26"/>
      <c r="B30" s="26"/>
      <c r="C30" s="37"/>
      <c r="D30" s="38"/>
      <c r="E30" s="38"/>
      <c r="F30" s="38"/>
      <c r="G30" s="38"/>
      <c r="H30" s="39"/>
      <c r="I30" s="45"/>
      <c r="J30" s="46"/>
    </row>
    <row r="31" spans="1:10" ht="15" customHeight="1" x14ac:dyDescent="0.2">
      <c r="A31" s="26"/>
      <c r="B31" s="26"/>
      <c r="C31" s="37"/>
      <c r="D31" s="38"/>
      <c r="E31" s="38"/>
      <c r="F31" s="38"/>
      <c r="G31" s="38"/>
      <c r="H31" s="39"/>
      <c r="I31" s="45" t="s">
        <v>193</v>
      </c>
      <c r="J31" s="46"/>
    </row>
    <row r="32" spans="1:10" ht="15" customHeight="1" x14ac:dyDescent="0.2">
      <c r="A32" s="26"/>
      <c r="B32" s="26"/>
      <c r="C32" s="40"/>
      <c r="D32" s="41"/>
      <c r="E32" s="41"/>
      <c r="F32" s="41"/>
      <c r="G32" s="41"/>
      <c r="H32" s="42"/>
      <c r="I32" s="47"/>
      <c r="J32" s="48"/>
    </row>
    <row r="33" spans="1:10" ht="15" customHeight="1" x14ac:dyDescent="0.2">
      <c r="A33" s="26"/>
      <c r="B33" s="27"/>
      <c r="C33" s="28" t="s">
        <v>199</v>
      </c>
      <c r="D33" s="29"/>
      <c r="E33" s="29"/>
      <c r="F33" s="29"/>
      <c r="G33" s="29"/>
      <c r="H33" s="29"/>
      <c r="I33" s="29"/>
      <c r="J33" s="30"/>
    </row>
    <row r="34" spans="1:10" ht="15" customHeight="1" x14ac:dyDescent="0.2">
      <c r="A34" s="26"/>
      <c r="B34" s="27"/>
      <c r="C34" s="31"/>
      <c r="D34" s="32"/>
      <c r="E34" s="32"/>
      <c r="F34" s="32"/>
      <c r="G34" s="32"/>
      <c r="H34" s="32"/>
      <c r="I34" s="32"/>
      <c r="J34" s="33"/>
    </row>
    <row r="35" spans="1:10" ht="15" customHeight="1" x14ac:dyDescent="0.2">
      <c r="A35" s="26"/>
      <c r="B35" s="26"/>
      <c r="C35" s="34" t="s">
        <v>209</v>
      </c>
      <c r="D35" s="35"/>
      <c r="E35" s="35"/>
      <c r="F35" s="35"/>
      <c r="G35" s="35"/>
      <c r="H35" s="36"/>
      <c r="I35" s="43" t="s">
        <v>204</v>
      </c>
      <c r="J35" s="44"/>
    </row>
    <row r="36" spans="1:10" ht="15" customHeight="1" x14ac:dyDescent="0.2">
      <c r="A36" s="26"/>
      <c r="B36" s="26"/>
      <c r="C36" s="37"/>
      <c r="D36" s="38"/>
      <c r="E36" s="38"/>
      <c r="F36" s="38"/>
      <c r="G36" s="38"/>
      <c r="H36" s="39"/>
      <c r="I36" s="45"/>
      <c r="J36" s="46"/>
    </row>
    <row r="37" spans="1:10" ht="15" customHeight="1" x14ac:dyDescent="0.2">
      <c r="A37" s="26"/>
      <c r="B37" s="26"/>
      <c r="C37" s="37"/>
      <c r="D37" s="38"/>
      <c r="E37" s="38"/>
      <c r="F37" s="38"/>
      <c r="G37" s="38"/>
      <c r="H37" s="39"/>
      <c r="I37" s="45" t="s">
        <v>193</v>
      </c>
      <c r="J37" s="46"/>
    </row>
    <row r="38" spans="1:10" ht="15" customHeight="1" x14ac:dyDescent="0.2">
      <c r="A38" s="26"/>
      <c r="B38" s="26"/>
      <c r="C38" s="40"/>
      <c r="D38" s="41"/>
      <c r="E38" s="41"/>
      <c r="F38" s="41"/>
      <c r="G38" s="41"/>
      <c r="H38" s="42"/>
      <c r="I38" s="47"/>
      <c r="J38" s="48"/>
    </row>
    <row r="39" spans="1:10" ht="15" customHeight="1" x14ac:dyDescent="0.2">
      <c r="A39" s="26"/>
      <c r="B39" s="27"/>
      <c r="C39" s="28" t="s">
        <v>200</v>
      </c>
      <c r="D39" s="29"/>
      <c r="E39" s="29"/>
      <c r="F39" s="29"/>
      <c r="G39" s="29"/>
      <c r="H39" s="29"/>
      <c r="I39" s="29"/>
      <c r="J39" s="30"/>
    </row>
    <row r="40" spans="1:10" ht="15" customHeight="1" x14ac:dyDescent="0.2">
      <c r="A40" s="26"/>
      <c r="B40" s="27"/>
      <c r="C40" s="31"/>
      <c r="D40" s="32"/>
      <c r="E40" s="32"/>
      <c r="F40" s="32"/>
      <c r="G40" s="32"/>
      <c r="H40" s="32"/>
      <c r="I40" s="32"/>
      <c r="J40" s="33"/>
    </row>
    <row r="41" spans="1:10" ht="15" customHeight="1" x14ac:dyDescent="0.2">
      <c r="A41" s="26"/>
      <c r="B41" s="26"/>
      <c r="C41" s="34" t="s">
        <v>210</v>
      </c>
      <c r="D41" s="35"/>
      <c r="E41" s="35"/>
      <c r="F41" s="35"/>
      <c r="G41" s="35"/>
      <c r="H41" s="36"/>
      <c r="I41" s="43" t="s">
        <v>205</v>
      </c>
      <c r="J41" s="44"/>
    </row>
    <row r="42" spans="1:10" ht="15" customHeight="1" x14ac:dyDescent="0.2">
      <c r="A42" s="26"/>
      <c r="B42" s="26"/>
      <c r="C42" s="37"/>
      <c r="D42" s="38"/>
      <c r="E42" s="38"/>
      <c r="F42" s="38"/>
      <c r="G42" s="38"/>
      <c r="H42" s="39"/>
      <c r="I42" s="45"/>
      <c r="J42" s="46"/>
    </row>
    <row r="43" spans="1:10" ht="15" customHeight="1" x14ac:dyDescent="0.2">
      <c r="A43" s="26"/>
      <c r="B43" s="26"/>
      <c r="C43" s="37"/>
      <c r="D43" s="38"/>
      <c r="E43" s="38"/>
      <c r="F43" s="38"/>
      <c r="G43" s="38"/>
      <c r="H43" s="39"/>
      <c r="I43" s="45" t="s">
        <v>193</v>
      </c>
      <c r="J43" s="46"/>
    </row>
    <row r="44" spans="1:10" ht="15" customHeight="1" x14ac:dyDescent="0.2">
      <c r="A44" s="26"/>
      <c r="B44" s="26"/>
      <c r="C44" s="40"/>
      <c r="D44" s="41"/>
      <c r="E44" s="41"/>
      <c r="F44" s="41"/>
      <c r="G44" s="41"/>
      <c r="H44" s="42"/>
      <c r="I44" s="47"/>
      <c r="J44" s="48"/>
    </row>
    <row r="45" spans="1:10" ht="15" customHeight="1" x14ac:dyDescent="0.2">
      <c r="A45" s="26"/>
      <c r="B45" s="27"/>
      <c r="C45" s="28" t="s">
        <v>201</v>
      </c>
      <c r="D45" s="29"/>
      <c r="E45" s="29"/>
      <c r="F45" s="29"/>
      <c r="G45" s="29"/>
      <c r="H45" s="29"/>
      <c r="I45" s="29"/>
      <c r="J45" s="30"/>
    </row>
    <row r="46" spans="1:10" ht="15" customHeight="1" x14ac:dyDescent="0.2">
      <c r="A46" s="26"/>
      <c r="B46" s="27"/>
      <c r="C46" s="31"/>
      <c r="D46" s="32"/>
      <c r="E46" s="32"/>
      <c r="F46" s="32"/>
      <c r="G46" s="32"/>
      <c r="H46" s="32"/>
      <c r="I46" s="32"/>
      <c r="J46" s="33"/>
    </row>
    <row r="47" spans="1:10" ht="15" customHeight="1" x14ac:dyDescent="0.2">
      <c r="A47" s="26"/>
      <c r="B47" s="26"/>
      <c r="C47" s="34" t="s">
        <v>215</v>
      </c>
      <c r="D47" s="35"/>
      <c r="E47" s="35"/>
      <c r="F47" s="35"/>
      <c r="G47" s="35"/>
      <c r="H47" s="36"/>
      <c r="I47" s="43" t="s">
        <v>254</v>
      </c>
      <c r="J47" s="44"/>
    </row>
    <row r="48" spans="1:10" ht="15" customHeight="1" x14ac:dyDescent="0.2">
      <c r="A48" s="26"/>
      <c r="B48" s="26"/>
      <c r="C48" s="37"/>
      <c r="D48" s="38"/>
      <c r="E48" s="38"/>
      <c r="F48" s="38"/>
      <c r="G48" s="38"/>
      <c r="H48" s="39"/>
      <c r="I48" s="45"/>
      <c r="J48" s="46"/>
    </row>
    <row r="49" spans="1:10" ht="15" customHeight="1" x14ac:dyDescent="0.2">
      <c r="A49" s="26"/>
      <c r="B49" s="26"/>
      <c r="C49" s="37"/>
      <c r="D49" s="38"/>
      <c r="E49" s="38"/>
      <c r="F49" s="38"/>
      <c r="G49" s="38"/>
      <c r="H49" s="39"/>
      <c r="I49" s="45" t="s">
        <v>193</v>
      </c>
      <c r="J49" s="46"/>
    </row>
    <row r="50" spans="1:10" ht="15" customHeight="1" x14ac:dyDescent="0.2">
      <c r="A50" s="26"/>
      <c r="B50" s="26"/>
      <c r="C50" s="40"/>
      <c r="D50" s="41"/>
      <c r="E50" s="41"/>
      <c r="F50" s="41"/>
      <c r="G50" s="41"/>
      <c r="H50" s="42"/>
      <c r="I50" s="47"/>
      <c r="J50" s="48"/>
    </row>
    <row r="51" spans="1:10" ht="15" customHeight="1" x14ac:dyDescent="0.2">
      <c r="A51" s="26"/>
      <c r="B51" s="27"/>
      <c r="C51" s="28" t="s">
        <v>222</v>
      </c>
      <c r="D51" s="29"/>
      <c r="E51" s="29"/>
      <c r="F51" s="29"/>
      <c r="G51" s="29"/>
      <c r="H51" s="29"/>
      <c r="I51" s="29"/>
      <c r="J51" s="30"/>
    </row>
    <row r="52" spans="1:10" x14ac:dyDescent="0.2">
      <c r="A52" s="26"/>
      <c r="B52" s="27"/>
      <c r="C52" s="31"/>
      <c r="D52" s="32"/>
      <c r="E52" s="32"/>
      <c r="F52" s="32"/>
      <c r="G52" s="32"/>
      <c r="H52" s="32"/>
      <c r="I52" s="32"/>
      <c r="J52" s="33"/>
    </row>
    <row r="53" spans="1:10" x14ac:dyDescent="0.2">
      <c r="A53" s="26"/>
      <c r="B53" s="26"/>
      <c r="C53" s="34" t="s">
        <v>223</v>
      </c>
      <c r="D53" s="35"/>
      <c r="E53" s="35"/>
      <c r="F53" s="35"/>
      <c r="G53" s="35"/>
      <c r="H53" s="36"/>
      <c r="I53" s="43" t="s">
        <v>255</v>
      </c>
      <c r="J53" s="44"/>
    </row>
    <row r="54" spans="1:10" x14ac:dyDescent="0.2">
      <c r="A54" s="26"/>
      <c r="B54" s="26"/>
      <c r="C54" s="37"/>
      <c r="D54" s="38"/>
      <c r="E54" s="38"/>
      <c r="F54" s="38"/>
      <c r="G54" s="38"/>
      <c r="H54" s="39"/>
      <c r="I54" s="45"/>
      <c r="J54" s="46"/>
    </row>
    <row r="55" spans="1:10" x14ac:dyDescent="0.2">
      <c r="A55" s="26"/>
      <c r="B55" s="26"/>
      <c r="C55" s="37"/>
      <c r="D55" s="38"/>
      <c r="E55" s="38"/>
      <c r="F55" s="38"/>
      <c r="G55" s="38"/>
      <c r="H55" s="39"/>
      <c r="I55" s="45"/>
      <c r="J55" s="46"/>
    </row>
    <row r="56" spans="1:10" x14ac:dyDescent="0.2">
      <c r="A56" s="26"/>
      <c r="B56" s="26"/>
      <c r="C56" s="40"/>
      <c r="D56" s="41"/>
      <c r="E56" s="41"/>
      <c r="F56" s="41"/>
      <c r="G56" s="41"/>
      <c r="H56" s="42"/>
      <c r="I56" s="47"/>
      <c r="J56" s="48"/>
    </row>
  </sheetData>
  <sheetProtection algorithmName="SHA-512" hashValue="4MiQ35QnOuHGIb3WjE1byqm780jrMOrBYRtOTnC4GRgmaJl0rN+qpCr9gwaM58hTHiQ4F8GWwmypPZjqSWTCDA==" saltValue="iCXcTaJgGJ9uyxaBN3W9Mg==" spinCount="100000" sheet="1" objects="1" scenarios="1"/>
  <mergeCells count="35">
    <mergeCell ref="A51:B56"/>
    <mergeCell ref="C51:J52"/>
    <mergeCell ref="C53:H56"/>
    <mergeCell ref="I53:J56"/>
    <mergeCell ref="I1:J1"/>
    <mergeCell ref="A6:H7"/>
    <mergeCell ref="I2:J3"/>
    <mergeCell ref="A33:B38"/>
    <mergeCell ref="A9:B14"/>
    <mergeCell ref="C11:H14"/>
    <mergeCell ref="C29:H32"/>
    <mergeCell ref="I29:J32"/>
    <mergeCell ref="C23:H26"/>
    <mergeCell ref="I23:J26"/>
    <mergeCell ref="C27:J28"/>
    <mergeCell ref="C17:H20"/>
    <mergeCell ref="C9:J10"/>
    <mergeCell ref="I11:J14"/>
    <mergeCell ref="A15:B20"/>
    <mergeCell ref="I17:J20"/>
    <mergeCell ref="C15:J16"/>
    <mergeCell ref="A45:B50"/>
    <mergeCell ref="C45:J46"/>
    <mergeCell ref="C47:H50"/>
    <mergeCell ref="I47:J50"/>
    <mergeCell ref="A21:B26"/>
    <mergeCell ref="A27:B32"/>
    <mergeCell ref="I41:J44"/>
    <mergeCell ref="A39:B44"/>
    <mergeCell ref="C39:J40"/>
    <mergeCell ref="C41:H44"/>
    <mergeCell ref="C33:J34"/>
    <mergeCell ref="C35:H38"/>
    <mergeCell ref="I35:J38"/>
    <mergeCell ref="C21:J22"/>
  </mergeCells>
  <printOptions horizontalCentered="1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>
    <oddFooter xml:space="preserve">&amp;L&amp;"Arial,Obyčejné"&amp;10   ITS097-01, © Greif-akustika, s.r.o.&amp;R&amp;"Arial,Obyčejné"&amp;10List &amp;P/&amp;N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006F3D"/>
  </sheetPr>
  <dimension ref="A1:J51"/>
  <sheetViews>
    <sheetView showGridLines="0" view="pageBreakPreview" zoomScale="120" zoomScaleNormal="120" zoomScaleSheetLayoutView="120" workbookViewId="0">
      <selection activeCell="I2" sqref="I2:J3"/>
    </sheetView>
  </sheetViews>
  <sheetFormatPr defaultColWidth="9" defaultRowHeight="14.25" x14ac:dyDescent="0.2"/>
  <cols>
    <col min="1" max="25" width="8.625" style="1" customWidth="1"/>
    <col min="26" max="16384" width="9" style="1"/>
  </cols>
  <sheetData>
    <row r="1" spans="1:10" ht="15" customHeight="1" thickBot="1" x14ac:dyDescent="0.25">
      <c r="I1" s="49" t="s">
        <v>2</v>
      </c>
      <c r="J1" s="49"/>
    </row>
    <row r="2" spans="1:10" ht="15" customHeight="1" x14ac:dyDescent="0.2">
      <c r="I2" s="63">
        <v>0</v>
      </c>
      <c r="J2" s="64"/>
    </row>
    <row r="3" spans="1:10" ht="15" customHeight="1" thickBot="1" x14ac:dyDescent="0.25">
      <c r="I3" s="65"/>
      <c r="J3" s="66"/>
    </row>
    <row r="4" spans="1:10" ht="15" customHeight="1" x14ac:dyDescent="0.2">
      <c r="I4" s="23">
        <f>1*1.03*1.03*1.03*1.2*1.15*1.06</f>
        <v>1.5984410555999999</v>
      </c>
      <c r="J4" s="23">
        <f>1-I2</f>
        <v>1</v>
      </c>
    </row>
    <row r="5" spans="1:10" ht="15" customHeight="1" x14ac:dyDescent="0.2"/>
    <row r="6" spans="1:10" ht="15" customHeight="1" x14ac:dyDescent="0.2">
      <c r="A6" s="50" t="s">
        <v>0</v>
      </c>
      <c r="B6" s="50"/>
      <c r="C6" s="50"/>
      <c r="D6" s="50"/>
      <c r="E6" s="50"/>
      <c r="F6" s="50"/>
      <c r="G6" s="50"/>
      <c r="H6" s="50"/>
    </row>
    <row r="7" spans="1:10" ht="15" customHeight="1" x14ac:dyDescent="0.2">
      <c r="A7" s="50"/>
      <c r="B7" s="50"/>
      <c r="C7" s="50"/>
      <c r="D7" s="50"/>
      <c r="E7" s="50"/>
      <c r="F7" s="50"/>
      <c r="G7" s="50"/>
      <c r="H7" s="50"/>
    </row>
    <row r="8" spans="1:10" ht="15" customHeight="1" x14ac:dyDescent="0.2"/>
    <row r="9" spans="1:10" ht="15" customHeight="1" x14ac:dyDescent="0.25">
      <c r="A9" s="59" t="s">
        <v>24</v>
      </c>
      <c r="B9" s="59"/>
      <c r="C9" s="59"/>
      <c r="D9" s="59"/>
      <c r="E9" s="59"/>
      <c r="F9" s="59"/>
      <c r="G9" s="59"/>
      <c r="H9" s="59"/>
      <c r="I9" s="60" t="s">
        <v>30</v>
      </c>
      <c r="J9" s="60"/>
    </row>
    <row r="10" spans="1:10" ht="15" customHeight="1" x14ac:dyDescent="0.2">
      <c r="A10" s="55" t="s">
        <v>48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0" ht="15" customHeight="1" x14ac:dyDescent="0.25">
      <c r="A11" s="61" t="s">
        <v>4</v>
      </c>
      <c r="B11" s="61"/>
      <c r="C11" s="61"/>
      <c r="D11" s="61"/>
      <c r="E11" s="61"/>
      <c r="F11" s="61"/>
      <c r="G11" s="62" t="s">
        <v>175</v>
      </c>
      <c r="H11" s="62"/>
      <c r="I11" s="62" t="s">
        <v>39</v>
      </c>
      <c r="J11" s="62"/>
    </row>
    <row r="12" spans="1:10" ht="15" customHeight="1" x14ac:dyDescent="0.2">
      <c r="A12" s="56" t="s">
        <v>25</v>
      </c>
      <c r="B12" s="56"/>
      <c r="C12" s="56"/>
      <c r="D12" s="56"/>
      <c r="E12" s="56"/>
      <c r="F12" s="56"/>
      <c r="G12" s="57">
        <f>MROUND(790*$I$4,5)</f>
        <v>1265</v>
      </c>
      <c r="H12" s="57"/>
      <c r="I12" s="58">
        <f t="shared" ref="I12:I17" si="0">ROUND(G12*$J$4,0)</f>
        <v>1265</v>
      </c>
      <c r="J12" s="58"/>
    </row>
    <row r="13" spans="1:10" ht="15" customHeight="1" x14ac:dyDescent="0.2">
      <c r="A13" s="56" t="s">
        <v>256</v>
      </c>
      <c r="B13" s="56"/>
      <c r="C13" s="56"/>
      <c r="D13" s="56"/>
      <c r="E13" s="56"/>
      <c r="F13" s="56"/>
      <c r="G13" s="57">
        <f>MROUND(1310*$I$4,5)</f>
        <v>2095</v>
      </c>
      <c r="H13" s="57"/>
      <c r="I13" s="58">
        <f t="shared" si="0"/>
        <v>2095</v>
      </c>
      <c r="J13" s="58"/>
    </row>
    <row r="14" spans="1:10" ht="15" customHeight="1" x14ac:dyDescent="0.2">
      <c r="A14" s="56" t="s">
        <v>26</v>
      </c>
      <c r="B14" s="56"/>
      <c r="C14" s="56"/>
      <c r="D14" s="56"/>
      <c r="E14" s="56"/>
      <c r="F14" s="56"/>
      <c r="G14" s="57">
        <f>MROUND(850*$I$4,5)</f>
        <v>1360</v>
      </c>
      <c r="H14" s="57"/>
      <c r="I14" s="58">
        <f t="shared" si="0"/>
        <v>1360</v>
      </c>
      <c r="J14" s="58"/>
    </row>
    <row r="15" spans="1:10" ht="15" customHeight="1" x14ac:dyDescent="0.2">
      <c r="A15" s="56" t="s">
        <v>27</v>
      </c>
      <c r="B15" s="56"/>
      <c r="C15" s="56"/>
      <c r="D15" s="56"/>
      <c r="E15" s="56"/>
      <c r="F15" s="56"/>
      <c r="G15" s="57">
        <f>MROUND(1465*$I$4,5)</f>
        <v>2340</v>
      </c>
      <c r="H15" s="57"/>
      <c r="I15" s="58">
        <f t="shared" si="0"/>
        <v>2340</v>
      </c>
      <c r="J15" s="58"/>
    </row>
    <row r="16" spans="1:10" ht="15" customHeight="1" x14ac:dyDescent="0.2">
      <c r="A16" s="56" t="s">
        <v>28</v>
      </c>
      <c r="B16" s="56"/>
      <c r="C16" s="56"/>
      <c r="D16" s="56"/>
      <c r="E16" s="56"/>
      <c r="F16" s="56"/>
      <c r="G16" s="57">
        <f>MROUND(900*$I$4,5)</f>
        <v>1440</v>
      </c>
      <c r="H16" s="57"/>
      <c r="I16" s="58">
        <f t="shared" si="0"/>
        <v>1440</v>
      </c>
      <c r="J16" s="58"/>
    </row>
    <row r="17" spans="1:10" ht="15" customHeight="1" x14ac:dyDescent="0.2">
      <c r="A17" s="56" t="s">
        <v>29</v>
      </c>
      <c r="B17" s="56"/>
      <c r="C17" s="56"/>
      <c r="D17" s="56"/>
      <c r="E17" s="56"/>
      <c r="F17" s="56"/>
      <c r="G17" s="57">
        <f>MROUND(1615*$I$4,5)</f>
        <v>2580</v>
      </c>
      <c r="H17" s="57"/>
      <c r="I17" s="58">
        <f t="shared" si="0"/>
        <v>2580</v>
      </c>
      <c r="J17" s="58"/>
    </row>
    <row r="18" spans="1:10" ht="15" customHeight="1" x14ac:dyDescent="0.2">
      <c r="J18" s="2"/>
    </row>
    <row r="19" spans="1:10" ht="15" customHeight="1" x14ac:dyDescent="0.25">
      <c r="A19" s="59" t="s">
        <v>1</v>
      </c>
      <c r="B19" s="59"/>
      <c r="C19" s="59"/>
      <c r="D19" s="59"/>
      <c r="E19" s="59"/>
      <c r="F19" s="59"/>
      <c r="G19" s="59"/>
      <c r="H19" s="59"/>
      <c r="I19" s="67" t="s">
        <v>3</v>
      </c>
      <c r="J19" s="67"/>
    </row>
    <row r="20" spans="1:10" ht="15" customHeight="1" x14ac:dyDescent="0.2">
      <c r="A20" s="55" t="s">
        <v>46</v>
      </c>
      <c r="B20" s="55"/>
      <c r="C20" s="55"/>
      <c r="D20" s="55"/>
      <c r="E20" s="55"/>
      <c r="F20" s="55"/>
      <c r="G20" s="55"/>
      <c r="H20" s="55"/>
      <c r="I20" s="55"/>
      <c r="J20" s="55"/>
    </row>
    <row r="21" spans="1:10" ht="15" customHeight="1" x14ac:dyDescent="0.25">
      <c r="A21" s="61" t="s">
        <v>4</v>
      </c>
      <c r="B21" s="61"/>
      <c r="C21" s="61"/>
      <c r="D21" s="61"/>
      <c r="E21" s="61"/>
      <c r="F21" s="61"/>
      <c r="G21" s="62" t="s">
        <v>175</v>
      </c>
      <c r="H21" s="62"/>
      <c r="I21" s="62" t="s">
        <v>39</v>
      </c>
      <c r="J21" s="62"/>
    </row>
    <row r="22" spans="1:10" ht="15" customHeight="1" x14ac:dyDescent="0.2">
      <c r="A22" s="56" t="s">
        <v>5</v>
      </c>
      <c r="B22" s="56"/>
      <c r="C22" s="56"/>
      <c r="D22" s="56"/>
      <c r="E22" s="56"/>
      <c r="F22" s="56"/>
      <c r="G22" s="57">
        <f>MROUND(1075*$I$4,5)</f>
        <v>1720</v>
      </c>
      <c r="H22" s="57"/>
      <c r="I22" s="58">
        <f t="shared" ref="I22:I30" si="1">ROUND(G22*$J$4,0)</f>
        <v>1720</v>
      </c>
      <c r="J22" s="58"/>
    </row>
    <row r="23" spans="1:10" ht="15" customHeight="1" x14ac:dyDescent="0.2">
      <c r="A23" s="56" t="s">
        <v>7</v>
      </c>
      <c r="B23" s="56"/>
      <c r="C23" s="56"/>
      <c r="D23" s="56"/>
      <c r="E23" s="56"/>
      <c r="F23" s="56"/>
      <c r="G23" s="57">
        <f>MROUND(1680*$I$4,5)</f>
        <v>2685</v>
      </c>
      <c r="H23" s="57"/>
      <c r="I23" s="58">
        <f t="shared" si="1"/>
        <v>2685</v>
      </c>
      <c r="J23" s="58"/>
    </row>
    <row r="24" spans="1:10" ht="15" customHeight="1" x14ac:dyDescent="0.2">
      <c r="A24" s="56" t="s">
        <v>9</v>
      </c>
      <c r="B24" s="56"/>
      <c r="C24" s="56"/>
      <c r="D24" s="56"/>
      <c r="E24" s="56"/>
      <c r="F24" s="56"/>
      <c r="G24" s="57">
        <f>MROUND(2110*$I$4,5)</f>
        <v>3375</v>
      </c>
      <c r="H24" s="57"/>
      <c r="I24" s="58">
        <f t="shared" si="1"/>
        <v>3375</v>
      </c>
      <c r="J24" s="58"/>
    </row>
    <row r="25" spans="1:10" ht="15" customHeight="1" x14ac:dyDescent="0.2">
      <c r="A25" s="56" t="s">
        <v>6</v>
      </c>
      <c r="B25" s="56"/>
      <c r="C25" s="56"/>
      <c r="D25" s="56"/>
      <c r="E25" s="56"/>
      <c r="F25" s="56"/>
      <c r="G25" s="57">
        <f>MROUND(1145*$I$4,5)</f>
        <v>1830</v>
      </c>
      <c r="H25" s="57"/>
      <c r="I25" s="58">
        <f t="shared" si="1"/>
        <v>1830</v>
      </c>
      <c r="J25" s="58"/>
    </row>
    <row r="26" spans="1:10" ht="15" customHeight="1" x14ac:dyDescent="0.2">
      <c r="A26" s="56" t="s">
        <v>8</v>
      </c>
      <c r="B26" s="56"/>
      <c r="C26" s="56"/>
      <c r="D26" s="56"/>
      <c r="E26" s="56"/>
      <c r="F26" s="56"/>
      <c r="G26" s="57">
        <f>MROUND(1815*$I$4,5)</f>
        <v>2900</v>
      </c>
      <c r="H26" s="57"/>
      <c r="I26" s="58">
        <f t="shared" si="1"/>
        <v>2900</v>
      </c>
      <c r="J26" s="58"/>
    </row>
    <row r="27" spans="1:10" ht="15" customHeight="1" x14ac:dyDescent="0.2">
      <c r="A27" s="56" t="s">
        <v>10</v>
      </c>
      <c r="B27" s="56"/>
      <c r="C27" s="56"/>
      <c r="D27" s="56"/>
      <c r="E27" s="56"/>
      <c r="F27" s="56"/>
      <c r="G27" s="57">
        <f>MROUND(2265*$I$4,5)</f>
        <v>3620</v>
      </c>
      <c r="H27" s="57"/>
      <c r="I27" s="58">
        <f t="shared" si="1"/>
        <v>3620</v>
      </c>
      <c r="J27" s="58"/>
    </row>
    <row r="28" spans="1:10" ht="15" customHeight="1" x14ac:dyDescent="0.2">
      <c r="A28" s="56" t="s">
        <v>11</v>
      </c>
      <c r="B28" s="56"/>
      <c r="C28" s="56"/>
      <c r="D28" s="56"/>
      <c r="E28" s="56"/>
      <c r="F28" s="56"/>
      <c r="G28" s="57">
        <f>MROUND(2420*$I$4,5)</f>
        <v>3870</v>
      </c>
      <c r="H28" s="57"/>
      <c r="I28" s="58">
        <f t="shared" si="1"/>
        <v>3870</v>
      </c>
      <c r="J28" s="58"/>
    </row>
    <row r="29" spans="1:10" ht="15" customHeight="1" x14ac:dyDescent="0.2">
      <c r="A29" s="56" t="s">
        <v>12</v>
      </c>
      <c r="B29" s="56"/>
      <c r="C29" s="56"/>
      <c r="D29" s="56"/>
      <c r="E29" s="56"/>
      <c r="F29" s="56"/>
      <c r="G29" s="57">
        <f>MROUND(3055*$I$4,5)</f>
        <v>4885</v>
      </c>
      <c r="H29" s="57"/>
      <c r="I29" s="58">
        <f t="shared" si="1"/>
        <v>4885</v>
      </c>
      <c r="J29" s="58"/>
    </row>
    <row r="30" spans="1:10" ht="15" customHeight="1" x14ac:dyDescent="0.2">
      <c r="A30" s="56" t="s">
        <v>13</v>
      </c>
      <c r="B30" s="56"/>
      <c r="C30" s="56"/>
      <c r="D30" s="56"/>
      <c r="E30" s="56"/>
      <c r="F30" s="56"/>
      <c r="G30" s="57">
        <f>MROUND(3445*$I$4,5)</f>
        <v>5505</v>
      </c>
      <c r="H30" s="57"/>
      <c r="I30" s="58">
        <f t="shared" si="1"/>
        <v>5505</v>
      </c>
      <c r="J30" s="58"/>
    </row>
    <row r="31" spans="1:10" ht="15" customHeight="1" x14ac:dyDescent="0.2"/>
    <row r="32" spans="1:10" ht="15" customHeight="1" x14ac:dyDescent="0.25">
      <c r="A32" s="59" t="s">
        <v>36</v>
      </c>
      <c r="B32" s="59"/>
      <c r="C32" s="59"/>
      <c r="D32" s="59"/>
      <c r="E32" s="59"/>
      <c r="F32" s="59"/>
      <c r="G32" s="59"/>
      <c r="H32" s="59"/>
      <c r="I32" s="60" t="s">
        <v>14</v>
      </c>
      <c r="J32" s="60"/>
    </row>
    <row r="33" spans="1:10" ht="15" customHeight="1" x14ac:dyDescent="0.2">
      <c r="A33" s="55" t="s">
        <v>47</v>
      </c>
      <c r="B33" s="55"/>
      <c r="C33" s="55"/>
      <c r="D33" s="55"/>
      <c r="E33" s="55"/>
      <c r="F33" s="55"/>
      <c r="G33" s="55"/>
      <c r="H33" s="55"/>
      <c r="I33" s="55"/>
      <c r="J33" s="55"/>
    </row>
    <row r="34" spans="1:10" ht="15" customHeight="1" x14ac:dyDescent="0.25">
      <c r="A34" s="61" t="s">
        <v>4</v>
      </c>
      <c r="B34" s="61"/>
      <c r="C34" s="61"/>
      <c r="D34" s="61"/>
      <c r="E34" s="61"/>
      <c r="F34" s="61"/>
      <c r="G34" s="62" t="s">
        <v>175</v>
      </c>
      <c r="H34" s="62"/>
      <c r="I34" s="62" t="s">
        <v>39</v>
      </c>
      <c r="J34" s="62"/>
    </row>
    <row r="35" spans="1:10" ht="15" customHeight="1" x14ac:dyDescent="0.2">
      <c r="A35" s="56" t="s">
        <v>15</v>
      </c>
      <c r="B35" s="56"/>
      <c r="C35" s="56"/>
      <c r="D35" s="56"/>
      <c r="E35" s="56"/>
      <c r="F35" s="56"/>
      <c r="G35" s="57">
        <f>MROUND(1210*$I$4,5)</f>
        <v>1935</v>
      </c>
      <c r="H35" s="57"/>
      <c r="I35" s="58">
        <f t="shared" ref="I35:I43" si="2">ROUND(G35*$J$4,0)</f>
        <v>1935</v>
      </c>
      <c r="J35" s="58"/>
    </row>
    <row r="36" spans="1:10" ht="15" customHeight="1" x14ac:dyDescent="0.2">
      <c r="A36" s="56" t="s">
        <v>17</v>
      </c>
      <c r="B36" s="56"/>
      <c r="C36" s="56"/>
      <c r="D36" s="56"/>
      <c r="E36" s="56"/>
      <c r="F36" s="56"/>
      <c r="G36" s="57">
        <f>MROUND(1870*$I$4,5)</f>
        <v>2990</v>
      </c>
      <c r="H36" s="57"/>
      <c r="I36" s="58">
        <f t="shared" si="2"/>
        <v>2990</v>
      </c>
      <c r="J36" s="58"/>
    </row>
    <row r="37" spans="1:10" ht="15" customHeight="1" x14ac:dyDescent="0.2">
      <c r="A37" s="56" t="s">
        <v>19</v>
      </c>
      <c r="B37" s="56"/>
      <c r="C37" s="56"/>
      <c r="D37" s="56"/>
      <c r="E37" s="56"/>
      <c r="F37" s="56"/>
      <c r="G37" s="57">
        <f>MROUND(2370*$I$4,5)</f>
        <v>3790</v>
      </c>
      <c r="H37" s="57"/>
      <c r="I37" s="58">
        <f t="shared" si="2"/>
        <v>3790</v>
      </c>
      <c r="J37" s="58"/>
    </row>
    <row r="38" spans="1:10" ht="15" customHeight="1" x14ac:dyDescent="0.2">
      <c r="A38" s="56" t="s">
        <v>16</v>
      </c>
      <c r="B38" s="56"/>
      <c r="C38" s="56"/>
      <c r="D38" s="56"/>
      <c r="E38" s="56"/>
      <c r="F38" s="56"/>
      <c r="G38" s="57">
        <f>MROUND(1285*$I$4,5)</f>
        <v>2055</v>
      </c>
      <c r="H38" s="57"/>
      <c r="I38" s="58">
        <f t="shared" si="2"/>
        <v>2055</v>
      </c>
      <c r="J38" s="58"/>
    </row>
    <row r="39" spans="1:10" ht="15" customHeight="1" x14ac:dyDescent="0.2">
      <c r="A39" s="56" t="s">
        <v>18</v>
      </c>
      <c r="B39" s="56"/>
      <c r="C39" s="56"/>
      <c r="D39" s="56"/>
      <c r="E39" s="56"/>
      <c r="F39" s="56"/>
      <c r="G39" s="57">
        <f>MROUND(2015*$I$4,5)</f>
        <v>3220</v>
      </c>
      <c r="H39" s="57"/>
      <c r="I39" s="58">
        <f t="shared" si="2"/>
        <v>3220</v>
      </c>
      <c r="J39" s="58"/>
    </row>
    <row r="40" spans="1:10" ht="15" customHeight="1" x14ac:dyDescent="0.2">
      <c r="A40" s="56" t="s">
        <v>20</v>
      </c>
      <c r="B40" s="56"/>
      <c r="C40" s="56"/>
      <c r="D40" s="56"/>
      <c r="E40" s="56"/>
      <c r="F40" s="56"/>
      <c r="G40" s="57">
        <f>MROUND(2525*$I$4,5)</f>
        <v>4035</v>
      </c>
      <c r="H40" s="57"/>
      <c r="I40" s="58">
        <f t="shared" si="2"/>
        <v>4035</v>
      </c>
      <c r="J40" s="58"/>
    </row>
    <row r="41" spans="1:10" ht="15" customHeight="1" x14ac:dyDescent="0.2">
      <c r="A41" s="56" t="s">
        <v>21</v>
      </c>
      <c r="B41" s="56"/>
      <c r="C41" s="56"/>
      <c r="D41" s="56"/>
      <c r="E41" s="56"/>
      <c r="F41" s="56"/>
      <c r="G41" s="57">
        <f>MROUND(2680*$I$4,5)</f>
        <v>4285</v>
      </c>
      <c r="H41" s="57"/>
      <c r="I41" s="58">
        <f t="shared" si="2"/>
        <v>4285</v>
      </c>
      <c r="J41" s="58"/>
    </row>
    <row r="42" spans="1:10" ht="15" customHeight="1" x14ac:dyDescent="0.2">
      <c r="A42" s="56" t="s">
        <v>22</v>
      </c>
      <c r="B42" s="56"/>
      <c r="C42" s="56"/>
      <c r="D42" s="56"/>
      <c r="E42" s="56"/>
      <c r="F42" s="56"/>
      <c r="G42" s="57">
        <f>MROUND(3315*$I$4,5)</f>
        <v>5300</v>
      </c>
      <c r="H42" s="57"/>
      <c r="I42" s="58">
        <f t="shared" si="2"/>
        <v>5300</v>
      </c>
      <c r="J42" s="58"/>
    </row>
    <row r="43" spans="1:10" ht="15" customHeight="1" x14ac:dyDescent="0.2">
      <c r="A43" s="56" t="s">
        <v>23</v>
      </c>
      <c r="B43" s="56"/>
      <c r="C43" s="56"/>
      <c r="D43" s="56"/>
      <c r="E43" s="56"/>
      <c r="F43" s="56"/>
      <c r="G43" s="57">
        <f>MROUND(3715*$I$4,5)</f>
        <v>5940</v>
      </c>
      <c r="H43" s="57"/>
      <c r="I43" s="58">
        <f t="shared" si="2"/>
        <v>5940</v>
      </c>
      <c r="J43" s="58"/>
    </row>
    <row r="44" spans="1:10" ht="15" customHeight="1" x14ac:dyDescent="0.2"/>
    <row r="45" spans="1:10" ht="1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ht="15" customHeight="1" x14ac:dyDescent="0.2">
      <c r="A46" s="3" t="s">
        <v>31</v>
      </c>
      <c r="B46" s="3"/>
      <c r="C46" s="3"/>
      <c r="D46" s="3"/>
      <c r="E46" s="3"/>
      <c r="F46" s="3"/>
      <c r="G46" s="3"/>
      <c r="H46" s="3"/>
      <c r="I46" s="3"/>
      <c r="J46" s="3"/>
    </row>
    <row r="47" spans="1:10" ht="15" customHeight="1" x14ac:dyDescent="0.2">
      <c r="A47" s="3" t="s">
        <v>32</v>
      </c>
      <c r="B47" s="3"/>
      <c r="C47" s="3"/>
      <c r="D47" s="3"/>
      <c r="E47" s="3"/>
      <c r="F47" s="3"/>
      <c r="G47" s="3"/>
      <c r="H47" s="3"/>
      <c r="I47" s="3"/>
      <c r="J47" s="3"/>
    </row>
    <row r="48" spans="1:10" ht="15" customHeight="1" x14ac:dyDescent="0.2">
      <c r="A48" s="3" t="s">
        <v>34</v>
      </c>
      <c r="B48" s="3"/>
      <c r="C48" s="3"/>
      <c r="D48" s="3"/>
      <c r="E48" s="3"/>
      <c r="F48" s="3"/>
      <c r="G48" s="3"/>
      <c r="H48" s="3"/>
      <c r="I48" s="3"/>
      <c r="J48" s="3"/>
    </row>
    <row r="49" spans="1:10" ht="15" customHeight="1" x14ac:dyDescent="0.2">
      <c r="A49" s="3" t="s">
        <v>35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ht="15" customHeight="1" x14ac:dyDescent="0.2">
      <c r="A50" s="4" t="s">
        <v>33</v>
      </c>
      <c r="B50" s="3"/>
      <c r="C50" s="3"/>
      <c r="D50" s="3"/>
      <c r="E50" s="3"/>
      <c r="F50" s="3"/>
      <c r="G50" s="3"/>
      <c r="H50" s="3"/>
      <c r="I50" s="3"/>
      <c r="J50" s="3"/>
    </row>
    <row r="51" spans="1:10" ht="15" customHeight="1" x14ac:dyDescent="0.2"/>
  </sheetData>
  <sheetProtection algorithmName="SHA-512" hashValue="mVT5Mj1GN3oX9bOQxtcqsXSCSsbHp11wE8UpOwPR/maqmnU7a76CmF5KJrO0hiBNWpwZNv1gUf/e07yBFDiJxg==" saltValue="WjTtH8M/cLOw87lI70AqnQ==" spinCount="100000" sheet="1" objects="1" scenarios="1"/>
  <mergeCells count="93">
    <mergeCell ref="A6:H7"/>
    <mergeCell ref="I1:J1"/>
    <mergeCell ref="I2:J3"/>
    <mergeCell ref="I19:J19"/>
    <mergeCell ref="A19:H19"/>
    <mergeCell ref="G14:H14"/>
    <mergeCell ref="I14:J14"/>
    <mergeCell ref="A11:F11"/>
    <mergeCell ref="G11:H11"/>
    <mergeCell ref="I11:J11"/>
    <mergeCell ref="A12:F12"/>
    <mergeCell ref="G12:H12"/>
    <mergeCell ref="I12:J12"/>
    <mergeCell ref="I21:J21"/>
    <mergeCell ref="I22:J22"/>
    <mergeCell ref="G21:H21"/>
    <mergeCell ref="G22:H22"/>
    <mergeCell ref="A22:F22"/>
    <mergeCell ref="A21:F21"/>
    <mergeCell ref="A23:F23"/>
    <mergeCell ref="G23:H23"/>
    <mergeCell ref="I23:J23"/>
    <mergeCell ref="A24:F24"/>
    <mergeCell ref="G24:H24"/>
    <mergeCell ref="I24:J24"/>
    <mergeCell ref="A25:F25"/>
    <mergeCell ref="G25:H25"/>
    <mergeCell ref="I25:J25"/>
    <mergeCell ref="A26:F26"/>
    <mergeCell ref="G26:H26"/>
    <mergeCell ref="I26:J26"/>
    <mergeCell ref="A27:F27"/>
    <mergeCell ref="G27:H27"/>
    <mergeCell ref="I27:J27"/>
    <mergeCell ref="A28:F28"/>
    <mergeCell ref="G28:H28"/>
    <mergeCell ref="I28:J28"/>
    <mergeCell ref="A29:F29"/>
    <mergeCell ref="G29:H29"/>
    <mergeCell ref="I29:J29"/>
    <mergeCell ref="A30:F30"/>
    <mergeCell ref="G30:H30"/>
    <mergeCell ref="I30:J30"/>
    <mergeCell ref="I32:J32"/>
    <mergeCell ref="A32:H32"/>
    <mergeCell ref="A34:F34"/>
    <mergeCell ref="G34:H34"/>
    <mergeCell ref="I34:J34"/>
    <mergeCell ref="A35:F35"/>
    <mergeCell ref="G35:H35"/>
    <mergeCell ref="I35:J35"/>
    <mergeCell ref="A36:F36"/>
    <mergeCell ref="G36:H36"/>
    <mergeCell ref="I36:J36"/>
    <mergeCell ref="I40:J40"/>
    <mergeCell ref="A37:F37"/>
    <mergeCell ref="G37:H37"/>
    <mergeCell ref="I37:J37"/>
    <mergeCell ref="A38:F38"/>
    <mergeCell ref="G38:H38"/>
    <mergeCell ref="I38:J38"/>
    <mergeCell ref="A43:F43"/>
    <mergeCell ref="G43:H43"/>
    <mergeCell ref="I43:J43"/>
    <mergeCell ref="A9:H9"/>
    <mergeCell ref="I9:J9"/>
    <mergeCell ref="A41:F41"/>
    <mergeCell ref="G41:H41"/>
    <mergeCell ref="I41:J41"/>
    <mergeCell ref="A42:F42"/>
    <mergeCell ref="G42:H42"/>
    <mergeCell ref="I42:J42"/>
    <mergeCell ref="A39:F39"/>
    <mergeCell ref="G39:H39"/>
    <mergeCell ref="I39:J39"/>
    <mergeCell ref="A40:F40"/>
    <mergeCell ref="G40:H40"/>
    <mergeCell ref="A20:J20"/>
    <mergeCell ref="A33:J33"/>
    <mergeCell ref="A10:J10"/>
    <mergeCell ref="A17:F17"/>
    <mergeCell ref="G17:H17"/>
    <mergeCell ref="I17:J17"/>
    <mergeCell ref="A15:F15"/>
    <mergeCell ref="G15:H15"/>
    <mergeCell ref="I15:J15"/>
    <mergeCell ref="A16:F16"/>
    <mergeCell ref="G16:H16"/>
    <mergeCell ref="I16:J16"/>
    <mergeCell ref="A13:F13"/>
    <mergeCell ref="G13:H13"/>
    <mergeCell ref="I13:J13"/>
    <mergeCell ref="A14:F14"/>
  </mergeCells>
  <printOptions horizontalCentered="1"/>
  <pageMargins left="0.59055118110236227" right="0.59055118110236227" top="0.78740157480314965" bottom="0.78740157480314965" header="0.39370078740157483" footer="0.39370078740157483"/>
  <pageSetup paperSize="9" scale="93" orientation="portrait" r:id="rId1"/>
  <headerFooter>
    <oddFooter xml:space="preserve">&amp;L&amp;"Arial,Obyčejné"&amp;10   ITS097-01, © Greif-akustika, s.r.o.&amp;R&amp;"Arial,Obyčejné"&amp;10List &amp;P/&amp;N  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0070C0"/>
  </sheetPr>
  <dimension ref="A1:S2000"/>
  <sheetViews>
    <sheetView showGridLines="0" view="pageBreakPreview" zoomScale="120" zoomScaleNormal="120" zoomScaleSheetLayoutView="120" workbookViewId="0">
      <selection activeCell="I2" sqref="I2:J3"/>
    </sheetView>
  </sheetViews>
  <sheetFormatPr defaultColWidth="9" defaultRowHeight="14.25" x14ac:dyDescent="0.2"/>
  <cols>
    <col min="1" max="25" width="8.625" style="1" customWidth="1"/>
    <col min="26" max="16384" width="9" style="1"/>
  </cols>
  <sheetData>
    <row r="1" spans="1:13" ht="15" customHeight="1" thickBot="1" x14ac:dyDescent="0.25">
      <c r="I1" s="49" t="s">
        <v>2</v>
      </c>
      <c r="J1" s="49"/>
    </row>
    <row r="2" spans="1:13" ht="15" customHeight="1" x14ac:dyDescent="0.2">
      <c r="I2" s="63">
        <f>'Buňky G-GE-GH'!I2:J3</f>
        <v>0</v>
      </c>
      <c r="J2" s="64"/>
    </row>
    <row r="3" spans="1:13" ht="15" customHeight="1" thickBot="1" x14ac:dyDescent="0.25">
      <c r="I3" s="65"/>
      <c r="J3" s="66"/>
    </row>
    <row r="4" spans="1:13" ht="15" customHeight="1" x14ac:dyDescent="0.2">
      <c r="I4" s="23">
        <f>1*1.03*1.03*1.03*1.2*1.15*1.06</f>
        <v>1.5984410555999999</v>
      </c>
      <c r="J4" s="23">
        <f>1-I2</f>
        <v>1</v>
      </c>
    </row>
    <row r="5" spans="1:13" ht="15" customHeight="1" x14ac:dyDescent="0.2"/>
    <row r="6" spans="1:13" ht="15" customHeight="1" x14ac:dyDescent="0.2">
      <c r="A6" s="50" t="s">
        <v>54</v>
      </c>
      <c r="B6" s="50"/>
      <c r="C6" s="50"/>
      <c r="D6" s="50"/>
      <c r="E6" s="50"/>
      <c r="F6" s="50"/>
      <c r="G6" s="50"/>
      <c r="H6" s="50"/>
    </row>
    <row r="7" spans="1:13" ht="15" customHeight="1" x14ac:dyDescent="0.2">
      <c r="A7" s="50"/>
      <c r="B7" s="50"/>
      <c r="C7" s="50"/>
      <c r="D7" s="50"/>
      <c r="E7" s="50"/>
      <c r="F7" s="50"/>
      <c r="G7" s="50"/>
      <c r="H7" s="50"/>
    </row>
    <row r="8" spans="1:13" ht="15" customHeight="1" x14ac:dyDescent="0.2"/>
    <row r="9" spans="1:13" ht="15" customHeight="1" x14ac:dyDescent="0.25">
      <c r="A9" s="59" t="s">
        <v>37</v>
      </c>
      <c r="B9" s="59"/>
      <c r="C9" s="59"/>
      <c r="D9" s="59"/>
      <c r="E9" s="59"/>
      <c r="F9" s="59"/>
      <c r="G9" s="59"/>
      <c r="H9" s="59"/>
      <c r="I9" s="67" t="s">
        <v>38</v>
      </c>
      <c r="J9" s="67"/>
    </row>
    <row r="10" spans="1:13" ht="15" customHeight="1" x14ac:dyDescent="0.2">
      <c r="A10" s="55" t="s">
        <v>48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3" ht="15" customHeight="1" x14ac:dyDescent="0.25">
      <c r="A11" s="62" t="s">
        <v>40</v>
      </c>
      <c r="B11" s="62"/>
      <c r="C11" s="62" t="s">
        <v>41</v>
      </c>
      <c r="D11" s="62"/>
      <c r="E11" s="62" t="s">
        <v>42</v>
      </c>
      <c r="F11" s="62"/>
      <c r="G11" s="62" t="s">
        <v>175</v>
      </c>
      <c r="H11" s="62"/>
      <c r="I11" s="62" t="s">
        <v>39</v>
      </c>
      <c r="J11" s="62"/>
    </row>
    <row r="12" spans="1:13" ht="15" customHeight="1" x14ac:dyDescent="0.2">
      <c r="A12" s="71" t="s">
        <v>45</v>
      </c>
      <c r="B12" s="72"/>
      <c r="C12" s="70">
        <v>200</v>
      </c>
      <c r="D12" s="70"/>
      <c r="E12" s="79">
        <v>1000</v>
      </c>
      <c r="F12" s="72"/>
      <c r="G12" s="57">
        <f>MROUND(450*$I$4,5)</f>
        <v>720</v>
      </c>
      <c r="H12" s="57"/>
      <c r="I12" s="58">
        <f t="shared" ref="I12:I38" si="0">ROUND(G12*$J$4,0)</f>
        <v>720</v>
      </c>
      <c r="J12" s="58"/>
      <c r="L12" s="20"/>
      <c r="M12" s="20"/>
    </row>
    <row r="13" spans="1:13" ht="15" customHeight="1" x14ac:dyDescent="0.2">
      <c r="A13" s="73"/>
      <c r="B13" s="74"/>
      <c r="C13" s="70">
        <v>250</v>
      </c>
      <c r="D13" s="70"/>
      <c r="E13" s="73"/>
      <c r="F13" s="74"/>
      <c r="G13" s="57">
        <f>MROUND(480*$I$4,5)</f>
        <v>765</v>
      </c>
      <c r="H13" s="57"/>
      <c r="I13" s="58">
        <f t="shared" si="0"/>
        <v>765</v>
      </c>
      <c r="J13" s="58"/>
      <c r="L13" s="20"/>
      <c r="M13" s="20"/>
    </row>
    <row r="14" spans="1:13" ht="15" customHeight="1" x14ac:dyDescent="0.2">
      <c r="A14" s="73"/>
      <c r="B14" s="74"/>
      <c r="C14" s="70">
        <v>315</v>
      </c>
      <c r="D14" s="70"/>
      <c r="E14" s="73"/>
      <c r="F14" s="74"/>
      <c r="G14" s="57">
        <f>MROUND(535*$I$4,5)</f>
        <v>855</v>
      </c>
      <c r="H14" s="57"/>
      <c r="I14" s="58">
        <f t="shared" si="0"/>
        <v>855</v>
      </c>
      <c r="J14" s="58"/>
      <c r="L14" s="20"/>
      <c r="M14" s="20"/>
    </row>
    <row r="15" spans="1:13" ht="15" customHeight="1" x14ac:dyDescent="0.2">
      <c r="A15" s="73"/>
      <c r="B15" s="74"/>
      <c r="C15" s="70">
        <v>400</v>
      </c>
      <c r="D15" s="70"/>
      <c r="E15" s="73"/>
      <c r="F15" s="74"/>
      <c r="G15" s="57">
        <f>MROUND(590*$I$4,5)</f>
        <v>945</v>
      </c>
      <c r="H15" s="57"/>
      <c r="I15" s="58">
        <f t="shared" si="0"/>
        <v>945</v>
      </c>
      <c r="J15" s="58"/>
      <c r="L15" s="20"/>
      <c r="M15" s="20"/>
    </row>
    <row r="16" spans="1:13" ht="15" customHeight="1" x14ac:dyDescent="0.2">
      <c r="A16" s="73"/>
      <c r="B16" s="74"/>
      <c r="C16" s="70">
        <v>500</v>
      </c>
      <c r="D16" s="70"/>
      <c r="E16" s="73"/>
      <c r="F16" s="74"/>
      <c r="G16" s="57">
        <f>MROUND(645*$I$4,5)</f>
        <v>1030</v>
      </c>
      <c r="H16" s="57"/>
      <c r="I16" s="58">
        <f t="shared" si="0"/>
        <v>1030</v>
      </c>
      <c r="J16" s="58"/>
      <c r="L16" s="20"/>
      <c r="M16" s="20"/>
    </row>
    <row r="17" spans="1:13" ht="15" customHeight="1" x14ac:dyDescent="0.2">
      <c r="A17" s="73"/>
      <c r="B17" s="74"/>
      <c r="C17" s="70">
        <v>630</v>
      </c>
      <c r="D17" s="70"/>
      <c r="E17" s="73"/>
      <c r="F17" s="74"/>
      <c r="G17" s="57">
        <f>MROUND(800*$I$4,5)</f>
        <v>1280</v>
      </c>
      <c r="H17" s="57"/>
      <c r="I17" s="58">
        <f t="shared" si="0"/>
        <v>1280</v>
      </c>
      <c r="J17" s="58"/>
      <c r="L17" s="20"/>
      <c r="M17" s="20"/>
    </row>
    <row r="18" spans="1:13" ht="15" customHeight="1" x14ac:dyDescent="0.2">
      <c r="A18" s="73"/>
      <c r="B18" s="74"/>
      <c r="C18" s="70">
        <v>710</v>
      </c>
      <c r="D18" s="70"/>
      <c r="E18" s="73"/>
      <c r="F18" s="74"/>
      <c r="G18" s="57">
        <f>MROUND(895*$I$4,5)</f>
        <v>1430</v>
      </c>
      <c r="H18" s="57"/>
      <c r="I18" s="58">
        <f t="shared" si="0"/>
        <v>1430</v>
      </c>
      <c r="J18" s="58"/>
      <c r="L18" s="20"/>
      <c r="M18" s="20"/>
    </row>
    <row r="19" spans="1:13" ht="15" customHeight="1" x14ac:dyDescent="0.2">
      <c r="A19" s="73"/>
      <c r="B19" s="74"/>
      <c r="C19" s="70">
        <v>800</v>
      </c>
      <c r="D19" s="70"/>
      <c r="E19" s="73"/>
      <c r="F19" s="74"/>
      <c r="G19" s="57">
        <f>MROUND(935*$I$4,5)</f>
        <v>1495</v>
      </c>
      <c r="H19" s="57"/>
      <c r="I19" s="58">
        <f t="shared" si="0"/>
        <v>1495</v>
      </c>
      <c r="J19" s="58"/>
      <c r="L19" s="20"/>
      <c r="M19" s="20"/>
    </row>
    <row r="20" spans="1:13" ht="15" customHeight="1" x14ac:dyDescent="0.2">
      <c r="A20" s="80"/>
      <c r="B20" s="81"/>
      <c r="C20" s="70">
        <v>1000</v>
      </c>
      <c r="D20" s="70"/>
      <c r="E20" s="80"/>
      <c r="F20" s="81"/>
      <c r="G20" s="57">
        <f>MROUND(1055*$I$4,5)</f>
        <v>1685</v>
      </c>
      <c r="H20" s="57"/>
      <c r="I20" s="58">
        <f t="shared" si="0"/>
        <v>1685</v>
      </c>
      <c r="J20" s="58"/>
      <c r="L20" s="20"/>
      <c r="M20" s="20"/>
    </row>
    <row r="21" spans="1:13" ht="15" customHeight="1" x14ac:dyDescent="0.2">
      <c r="A21" s="71" t="s">
        <v>45</v>
      </c>
      <c r="B21" s="72"/>
      <c r="C21" s="70">
        <v>200</v>
      </c>
      <c r="D21" s="70"/>
      <c r="E21" s="79">
        <v>1500</v>
      </c>
      <c r="F21" s="72"/>
      <c r="G21" s="57">
        <f>MROUND(675*$I$4,5)</f>
        <v>1080</v>
      </c>
      <c r="H21" s="57"/>
      <c r="I21" s="58">
        <f t="shared" si="0"/>
        <v>1080</v>
      </c>
      <c r="J21" s="58"/>
      <c r="L21" s="21"/>
      <c r="M21" s="21"/>
    </row>
    <row r="22" spans="1:13" ht="15" customHeight="1" x14ac:dyDescent="0.2">
      <c r="A22" s="73"/>
      <c r="B22" s="74"/>
      <c r="C22" s="70">
        <v>250</v>
      </c>
      <c r="D22" s="70"/>
      <c r="E22" s="73"/>
      <c r="F22" s="74"/>
      <c r="G22" s="57">
        <f>MROUND(715*$I$4,5)</f>
        <v>1145</v>
      </c>
      <c r="H22" s="57"/>
      <c r="I22" s="58">
        <f t="shared" si="0"/>
        <v>1145</v>
      </c>
      <c r="J22" s="58"/>
      <c r="L22" s="21"/>
      <c r="M22" s="21"/>
    </row>
    <row r="23" spans="1:13" ht="15" customHeight="1" x14ac:dyDescent="0.2">
      <c r="A23" s="73"/>
      <c r="B23" s="74"/>
      <c r="C23" s="70">
        <v>315</v>
      </c>
      <c r="D23" s="70"/>
      <c r="E23" s="73"/>
      <c r="F23" s="74"/>
      <c r="G23" s="57">
        <f>MROUND(800*$I$4,5)</f>
        <v>1280</v>
      </c>
      <c r="H23" s="57"/>
      <c r="I23" s="58">
        <f t="shared" si="0"/>
        <v>1280</v>
      </c>
      <c r="J23" s="58"/>
      <c r="L23" s="21"/>
      <c r="M23" s="21"/>
    </row>
    <row r="24" spans="1:13" ht="15" customHeight="1" x14ac:dyDescent="0.2">
      <c r="A24" s="73"/>
      <c r="B24" s="74"/>
      <c r="C24" s="70">
        <v>400</v>
      </c>
      <c r="D24" s="70"/>
      <c r="E24" s="73"/>
      <c r="F24" s="74"/>
      <c r="G24" s="57">
        <f>MROUND(885*$I$4,5)</f>
        <v>1415</v>
      </c>
      <c r="H24" s="57"/>
      <c r="I24" s="58">
        <f t="shared" si="0"/>
        <v>1415</v>
      </c>
      <c r="J24" s="58"/>
      <c r="L24" s="21"/>
      <c r="M24" s="21"/>
    </row>
    <row r="25" spans="1:13" ht="15" customHeight="1" x14ac:dyDescent="0.2">
      <c r="A25" s="73"/>
      <c r="B25" s="74"/>
      <c r="C25" s="70">
        <v>500</v>
      </c>
      <c r="D25" s="70"/>
      <c r="E25" s="73"/>
      <c r="F25" s="74"/>
      <c r="G25" s="57">
        <f>MROUND(965*$I$4,5)</f>
        <v>1540</v>
      </c>
      <c r="H25" s="57"/>
      <c r="I25" s="58">
        <f t="shared" si="0"/>
        <v>1540</v>
      </c>
      <c r="J25" s="58"/>
      <c r="L25" s="21"/>
      <c r="M25" s="21"/>
    </row>
    <row r="26" spans="1:13" ht="15" customHeight="1" x14ac:dyDescent="0.2">
      <c r="A26" s="73"/>
      <c r="B26" s="74"/>
      <c r="C26" s="70">
        <v>630</v>
      </c>
      <c r="D26" s="70"/>
      <c r="E26" s="73"/>
      <c r="F26" s="74"/>
      <c r="G26" s="57">
        <f>MROUND(1195*$I$4,5)</f>
        <v>1910</v>
      </c>
      <c r="H26" s="57"/>
      <c r="I26" s="58">
        <f t="shared" si="0"/>
        <v>1910</v>
      </c>
      <c r="J26" s="58"/>
      <c r="L26" s="21"/>
      <c r="M26" s="21"/>
    </row>
    <row r="27" spans="1:13" ht="15" customHeight="1" x14ac:dyDescent="0.2">
      <c r="A27" s="73"/>
      <c r="B27" s="74"/>
      <c r="C27" s="70">
        <v>710</v>
      </c>
      <c r="D27" s="70"/>
      <c r="E27" s="73"/>
      <c r="F27" s="74"/>
      <c r="G27" s="57">
        <f>MROUND(1310*$I$4,5)</f>
        <v>2095</v>
      </c>
      <c r="H27" s="57"/>
      <c r="I27" s="58">
        <f t="shared" si="0"/>
        <v>2095</v>
      </c>
      <c r="J27" s="58"/>
      <c r="L27" s="21"/>
      <c r="M27" s="21"/>
    </row>
    <row r="28" spans="1:13" ht="15" customHeight="1" x14ac:dyDescent="0.2">
      <c r="A28" s="73"/>
      <c r="B28" s="74"/>
      <c r="C28" s="70">
        <v>800</v>
      </c>
      <c r="D28" s="70"/>
      <c r="E28" s="73"/>
      <c r="F28" s="74"/>
      <c r="G28" s="57">
        <f>MROUND(1405*$I$4,5)</f>
        <v>2245</v>
      </c>
      <c r="H28" s="57"/>
      <c r="I28" s="58">
        <f t="shared" si="0"/>
        <v>2245</v>
      </c>
      <c r="J28" s="58"/>
      <c r="L28" s="21"/>
      <c r="M28" s="21"/>
    </row>
    <row r="29" spans="1:13" ht="15" customHeight="1" x14ac:dyDescent="0.2">
      <c r="A29" s="80"/>
      <c r="B29" s="81"/>
      <c r="C29" s="70">
        <v>1000</v>
      </c>
      <c r="D29" s="70"/>
      <c r="E29" s="80"/>
      <c r="F29" s="81"/>
      <c r="G29" s="57">
        <f>MROUND(1585*$I$4,5)</f>
        <v>2535</v>
      </c>
      <c r="H29" s="57"/>
      <c r="I29" s="58">
        <f t="shared" si="0"/>
        <v>2535</v>
      </c>
      <c r="J29" s="58"/>
      <c r="L29" s="21"/>
      <c r="M29" s="21"/>
    </row>
    <row r="30" spans="1:13" ht="15" customHeight="1" x14ac:dyDescent="0.2">
      <c r="A30" s="71" t="s">
        <v>45</v>
      </c>
      <c r="B30" s="72"/>
      <c r="C30" s="84">
        <v>200</v>
      </c>
      <c r="D30" s="85"/>
      <c r="E30" s="79">
        <v>2000</v>
      </c>
      <c r="F30" s="72"/>
      <c r="G30" s="57">
        <f>MROUND(900*$I$4,5)</f>
        <v>1440</v>
      </c>
      <c r="H30" s="57"/>
      <c r="I30" s="82">
        <f t="shared" si="0"/>
        <v>1440</v>
      </c>
      <c r="J30" s="83"/>
      <c r="L30" s="20"/>
      <c r="M30" s="20"/>
    </row>
    <row r="31" spans="1:13" ht="15" customHeight="1" x14ac:dyDescent="0.2">
      <c r="A31" s="73"/>
      <c r="B31" s="74"/>
      <c r="C31" s="84">
        <v>250</v>
      </c>
      <c r="D31" s="85"/>
      <c r="E31" s="73"/>
      <c r="F31" s="74"/>
      <c r="G31" s="57">
        <f>MROUND(955*$I$4,5)</f>
        <v>1525</v>
      </c>
      <c r="H31" s="57"/>
      <c r="I31" s="82">
        <f t="shared" si="0"/>
        <v>1525</v>
      </c>
      <c r="J31" s="83"/>
      <c r="L31" s="20"/>
      <c r="M31" s="20"/>
    </row>
    <row r="32" spans="1:13" ht="15" customHeight="1" x14ac:dyDescent="0.2">
      <c r="A32" s="73"/>
      <c r="B32" s="74"/>
      <c r="C32" s="70">
        <v>315</v>
      </c>
      <c r="D32" s="70"/>
      <c r="E32" s="73"/>
      <c r="F32" s="74"/>
      <c r="G32" s="57">
        <f>MROUND(1065*$I$4,5)</f>
        <v>1700</v>
      </c>
      <c r="H32" s="57"/>
      <c r="I32" s="58">
        <f t="shared" si="0"/>
        <v>1700</v>
      </c>
      <c r="J32" s="58"/>
      <c r="L32" s="20"/>
      <c r="M32" s="20"/>
    </row>
    <row r="33" spans="1:19" ht="15" customHeight="1" x14ac:dyDescent="0.2">
      <c r="A33" s="73"/>
      <c r="B33" s="74"/>
      <c r="C33" s="70">
        <v>400</v>
      </c>
      <c r="D33" s="70"/>
      <c r="E33" s="73"/>
      <c r="F33" s="74"/>
      <c r="G33" s="57">
        <f>MROUND(1175*$I$4,5)</f>
        <v>1880</v>
      </c>
      <c r="H33" s="57"/>
      <c r="I33" s="58">
        <f t="shared" si="0"/>
        <v>1880</v>
      </c>
      <c r="J33" s="58"/>
      <c r="L33" s="20"/>
      <c r="M33" s="20"/>
    </row>
    <row r="34" spans="1:19" ht="15" customHeight="1" x14ac:dyDescent="0.2">
      <c r="A34" s="73"/>
      <c r="B34" s="74"/>
      <c r="C34" s="70">
        <v>500</v>
      </c>
      <c r="D34" s="70"/>
      <c r="E34" s="73"/>
      <c r="F34" s="74"/>
      <c r="G34" s="57">
        <f>MROUND(1285*$I$4,5)</f>
        <v>2055</v>
      </c>
      <c r="H34" s="57"/>
      <c r="I34" s="58">
        <f t="shared" si="0"/>
        <v>2055</v>
      </c>
      <c r="J34" s="58"/>
      <c r="L34" s="20"/>
      <c r="M34" s="20"/>
    </row>
    <row r="35" spans="1:19" ht="15" customHeight="1" x14ac:dyDescent="0.2">
      <c r="A35" s="73"/>
      <c r="B35" s="74"/>
      <c r="C35" s="70">
        <v>630</v>
      </c>
      <c r="D35" s="70"/>
      <c r="E35" s="73"/>
      <c r="F35" s="74"/>
      <c r="G35" s="57">
        <f>MROUND(1595*$I$4,5)</f>
        <v>2550</v>
      </c>
      <c r="H35" s="57"/>
      <c r="I35" s="58">
        <f t="shared" si="0"/>
        <v>2550</v>
      </c>
      <c r="J35" s="58"/>
      <c r="L35" s="20"/>
      <c r="M35" s="20"/>
    </row>
    <row r="36" spans="1:19" ht="15" customHeight="1" x14ac:dyDescent="0.2">
      <c r="A36" s="73"/>
      <c r="B36" s="74"/>
      <c r="C36" s="70">
        <v>710</v>
      </c>
      <c r="D36" s="70"/>
      <c r="E36" s="73"/>
      <c r="F36" s="74"/>
      <c r="G36" s="57">
        <f>MROUND(1745*$I$4,5)</f>
        <v>2790</v>
      </c>
      <c r="H36" s="57"/>
      <c r="I36" s="58">
        <f t="shared" si="0"/>
        <v>2790</v>
      </c>
      <c r="J36" s="58"/>
      <c r="L36" s="20"/>
      <c r="M36" s="20"/>
    </row>
    <row r="37" spans="1:19" ht="15" customHeight="1" x14ac:dyDescent="0.2">
      <c r="A37" s="73"/>
      <c r="B37" s="74"/>
      <c r="C37" s="70">
        <v>800</v>
      </c>
      <c r="D37" s="70"/>
      <c r="E37" s="73"/>
      <c r="F37" s="74"/>
      <c r="G37" s="57">
        <f>MROUND(1870*$I$4,5)</f>
        <v>2990</v>
      </c>
      <c r="H37" s="57"/>
      <c r="I37" s="58">
        <f t="shared" si="0"/>
        <v>2990</v>
      </c>
      <c r="J37" s="58"/>
      <c r="L37" s="20"/>
      <c r="M37" s="20"/>
    </row>
    <row r="38" spans="1:19" ht="15" customHeight="1" x14ac:dyDescent="0.2">
      <c r="A38" s="80"/>
      <c r="B38" s="81"/>
      <c r="C38" s="70">
        <v>1000</v>
      </c>
      <c r="D38" s="70"/>
      <c r="E38" s="80"/>
      <c r="F38" s="81"/>
      <c r="G38" s="57">
        <f>MROUND(2110*$I$4,5)</f>
        <v>3375</v>
      </c>
      <c r="H38" s="57"/>
      <c r="I38" s="58">
        <f t="shared" si="0"/>
        <v>3375</v>
      </c>
      <c r="J38" s="58"/>
      <c r="L38" s="20"/>
      <c r="M38" s="20"/>
    </row>
    <row r="39" spans="1:19" ht="15" customHeight="1" x14ac:dyDescent="0.2">
      <c r="A39" s="5"/>
      <c r="B39" s="5"/>
      <c r="C39" s="5"/>
      <c r="D39" s="5"/>
      <c r="E39" s="5"/>
      <c r="F39" s="5"/>
      <c r="G39" s="6"/>
      <c r="H39" s="6"/>
      <c r="I39" s="7"/>
      <c r="J39" s="7"/>
    </row>
    <row r="40" spans="1:19" ht="15" customHeight="1" x14ac:dyDescent="0.25">
      <c r="A40" s="59" t="s">
        <v>44</v>
      </c>
      <c r="B40" s="59"/>
      <c r="C40" s="59"/>
      <c r="D40" s="59"/>
      <c r="E40" s="59"/>
      <c r="F40" s="59"/>
      <c r="G40" s="59"/>
      <c r="H40" s="59"/>
      <c r="I40" s="8">
        <v>25</v>
      </c>
      <c r="J40" s="8">
        <v>100</v>
      </c>
    </row>
    <row r="41" spans="1:19" ht="15" customHeight="1" x14ac:dyDescent="0.2">
      <c r="A41" s="55" t="s">
        <v>51</v>
      </c>
      <c r="B41" s="55"/>
      <c r="C41" s="55"/>
      <c r="D41" s="55"/>
      <c r="E41" s="55"/>
      <c r="F41" s="55"/>
      <c r="G41" s="55"/>
      <c r="H41" s="55"/>
      <c r="I41" s="55"/>
      <c r="J41" s="55"/>
    </row>
    <row r="42" spans="1:19" ht="15" customHeight="1" x14ac:dyDescent="0.2">
      <c r="A42" s="77" t="s">
        <v>43</v>
      </c>
      <c r="B42" s="78"/>
      <c r="C42" s="9">
        <v>200</v>
      </c>
      <c r="D42" s="9">
        <v>250</v>
      </c>
      <c r="E42" s="9">
        <v>315</v>
      </c>
      <c r="F42" s="9">
        <v>400</v>
      </c>
      <c r="G42" s="9">
        <v>500</v>
      </c>
      <c r="H42" s="9">
        <v>630</v>
      </c>
      <c r="I42" s="9">
        <v>800</v>
      </c>
      <c r="J42" s="9">
        <v>1000</v>
      </c>
    </row>
    <row r="43" spans="1:19" ht="15" customHeight="1" x14ac:dyDescent="0.2">
      <c r="A43" s="68" t="s">
        <v>171</v>
      </c>
      <c r="B43" s="69"/>
      <c r="C43" s="10">
        <f>MROUND(190*$I$4*$J$4,5)</f>
        <v>305</v>
      </c>
      <c r="D43" s="10">
        <f>MROUND(190*$I$4*$J$4,5)</f>
        <v>305</v>
      </c>
      <c r="E43" s="10">
        <f>MROUND(200*$I$4*$J$4,5)</f>
        <v>320</v>
      </c>
      <c r="F43" s="10">
        <f>MROUND(210*$I$4*$J$4,5)</f>
        <v>335</v>
      </c>
      <c r="G43" s="10">
        <f>MROUND(215*$I$4*$J$4,5)</f>
        <v>345</v>
      </c>
      <c r="H43" s="10">
        <f>MROUND(230*$I$4*$J$4,5)</f>
        <v>370</v>
      </c>
      <c r="I43" s="10">
        <f>MROUND(245*$I$4*$J$4,5)</f>
        <v>390</v>
      </c>
      <c r="J43" s="10">
        <f>MROUND(270*$I$4*$J$4,5)</f>
        <v>430</v>
      </c>
      <c r="L43" s="20"/>
      <c r="M43" s="20"/>
      <c r="N43" s="20"/>
      <c r="O43" s="20"/>
      <c r="P43" s="20"/>
      <c r="Q43" s="20"/>
      <c r="R43" s="20"/>
      <c r="S43" s="20"/>
    </row>
    <row r="44" spans="1:19" ht="15" customHeight="1" x14ac:dyDescent="0.2">
      <c r="A44" s="68" t="s">
        <v>172</v>
      </c>
      <c r="B44" s="69"/>
      <c r="C44" s="10">
        <f>MROUND(185*$I$4*$J$4,5)</f>
        <v>295</v>
      </c>
      <c r="D44" s="10">
        <f>MROUND(185*$I$4*$J$4,5)</f>
        <v>295</v>
      </c>
      <c r="E44" s="10">
        <f>MROUND(190*$I$4*$J$4,5)</f>
        <v>305</v>
      </c>
      <c r="F44" s="10">
        <f>MROUND(200*$I$4*$J$4,5)</f>
        <v>320</v>
      </c>
      <c r="G44" s="10">
        <f>MROUND(210*$I$4*$J$4,5)</f>
        <v>335</v>
      </c>
      <c r="H44" s="10">
        <f>MROUND(215*$I$4*$J$4,5)</f>
        <v>345</v>
      </c>
      <c r="I44" s="10">
        <f>MROUND(230*$I$4*$J$4,5)</f>
        <v>370</v>
      </c>
      <c r="J44" s="10">
        <f>MROUND(240*$I$4*$J$4,5)</f>
        <v>385</v>
      </c>
      <c r="L44" s="20"/>
      <c r="M44" s="20"/>
      <c r="N44" s="20"/>
      <c r="O44" s="20"/>
      <c r="P44" s="20"/>
      <c r="Q44" s="20"/>
      <c r="R44" s="20"/>
      <c r="S44" s="20"/>
    </row>
    <row r="45" spans="1:19" ht="15" customHeight="1" x14ac:dyDescent="0.2">
      <c r="A45" s="68" t="s">
        <v>173</v>
      </c>
      <c r="B45" s="69"/>
      <c r="C45" s="10">
        <f>C44+C43</f>
        <v>600</v>
      </c>
      <c r="D45" s="10">
        <f t="shared" ref="D45:J45" si="1">D44+D43</f>
        <v>600</v>
      </c>
      <c r="E45" s="10">
        <f t="shared" si="1"/>
        <v>625</v>
      </c>
      <c r="F45" s="10">
        <f t="shared" si="1"/>
        <v>655</v>
      </c>
      <c r="G45" s="10">
        <f t="shared" si="1"/>
        <v>680</v>
      </c>
      <c r="H45" s="10">
        <f t="shared" si="1"/>
        <v>715</v>
      </c>
      <c r="I45" s="10">
        <f t="shared" si="1"/>
        <v>760</v>
      </c>
      <c r="J45" s="10">
        <f t="shared" si="1"/>
        <v>815</v>
      </c>
      <c r="L45" s="20"/>
      <c r="M45" s="20"/>
      <c r="N45" s="20"/>
      <c r="O45" s="20"/>
      <c r="P45" s="20"/>
      <c r="Q45" s="20"/>
      <c r="R45" s="20"/>
      <c r="S45" s="20"/>
    </row>
    <row r="46" spans="1:19" ht="1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9" ht="15" customHeight="1" x14ac:dyDescent="0.2">
      <c r="A47" s="3" t="s">
        <v>162</v>
      </c>
      <c r="B47" s="3"/>
      <c r="C47" s="3"/>
      <c r="D47" s="3"/>
      <c r="E47" s="3"/>
      <c r="F47" s="3"/>
      <c r="G47" s="3"/>
      <c r="H47" s="3"/>
      <c r="I47" s="3"/>
      <c r="J47" s="3"/>
    </row>
    <row r="48" spans="1:19" ht="15" customHeight="1" x14ac:dyDescent="0.2">
      <c r="A48" s="3" t="s">
        <v>163</v>
      </c>
      <c r="B48" s="3"/>
      <c r="C48" s="3"/>
      <c r="D48" s="3"/>
      <c r="E48" s="3"/>
      <c r="F48" s="3"/>
      <c r="G48" s="3"/>
      <c r="H48" s="3"/>
      <c r="I48" s="3"/>
      <c r="J48" s="3"/>
    </row>
    <row r="49" spans="1:13" ht="15" customHeight="1" x14ac:dyDescent="0.2">
      <c r="A49" s="3" t="s">
        <v>35</v>
      </c>
      <c r="B49" s="3"/>
      <c r="C49" s="3"/>
      <c r="D49" s="3"/>
      <c r="E49" s="3"/>
      <c r="F49" s="3"/>
      <c r="G49" s="3"/>
      <c r="H49" s="3"/>
      <c r="I49" s="3"/>
      <c r="J49" s="3"/>
    </row>
    <row r="50" spans="1:13" ht="15" customHeight="1" x14ac:dyDescent="0.2">
      <c r="A50" s="4" t="s">
        <v>33</v>
      </c>
      <c r="B50" s="3"/>
      <c r="C50" s="3"/>
      <c r="D50" s="3"/>
      <c r="E50" s="3"/>
      <c r="F50" s="3"/>
      <c r="G50" s="3"/>
      <c r="H50" s="3"/>
      <c r="I50" s="3"/>
      <c r="J50" s="3"/>
    </row>
    <row r="51" spans="1:13" ht="15" customHeight="1" thickBot="1" x14ac:dyDescent="0.25">
      <c r="I51" s="49" t="s">
        <v>2</v>
      </c>
      <c r="J51" s="49"/>
    </row>
    <row r="52" spans="1:13" x14ac:dyDescent="0.2">
      <c r="I52" s="63">
        <f>I2</f>
        <v>0</v>
      </c>
      <c r="J52" s="64"/>
    </row>
    <row r="53" spans="1:13" ht="15" thickBot="1" x14ac:dyDescent="0.25">
      <c r="I53" s="65"/>
      <c r="J53" s="66"/>
    </row>
    <row r="56" spans="1:13" ht="15" customHeight="1" x14ac:dyDescent="0.2">
      <c r="A56" s="50" t="s">
        <v>54</v>
      </c>
      <c r="B56" s="50"/>
      <c r="C56" s="50"/>
      <c r="D56" s="50"/>
      <c r="E56" s="50"/>
      <c r="F56" s="50"/>
      <c r="G56" s="50"/>
      <c r="H56" s="50"/>
    </row>
    <row r="57" spans="1:13" ht="15" customHeight="1" x14ac:dyDescent="0.2">
      <c r="A57" s="50"/>
      <c r="B57" s="50"/>
      <c r="C57" s="50"/>
      <c r="D57" s="50"/>
      <c r="E57" s="50"/>
      <c r="F57" s="50"/>
      <c r="G57" s="50"/>
      <c r="H57" s="50"/>
    </row>
    <row r="58" spans="1:13" ht="15" customHeight="1" x14ac:dyDescent="0.2">
      <c r="J58" s="23">
        <f>1-I52</f>
        <v>1</v>
      </c>
    </row>
    <row r="59" spans="1:13" ht="15" customHeight="1" x14ac:dyDescent="0.25">
      <c r="A59" s="59" t="s">
        <v>37</v>
      </c>
      <c r="B59" s="59"/>
      <c r="C59" s="59"/>
      <c r="D59" s="59"/>
      <c r="E59" s="59"/>
      <c r="F59" s="59"/>
      <c r="G59" s="59"/>
      <c r="H59" s="59"/>
      <c r="I59" s="67" t="s">
        <v>38</v>
      </c>
      <c r="J59" s="67"/>
    </row>
    <row r="60" spans="1:13" ht="15" customHeight="1" x14ac:dyDescent="0.2">
      <c r="A60" s="55" t="s">
        <v>48</v>
      </c>
      <c r="B60" s="55"/>
      <c r="C60" s="55"/>
      <c r="D60" s="55"/>
      <c r="E60" s="55"/>
      <c r="F60" s="55"/>
      <c r="G60" s="55"/>
      <c r="H60" s="55"/>
      <c r="I60" s="55"/>
      <c r="J60" s="55"/>
    </row>
    <row r="61" spans="1:13" ht="15" customHeight="1" x14ac:dyDescent="0.25">
      <c r="A61" s="62" t="s">
        <v>40</v>
      </c>
      <c r="B61" s="62"/>
      <c r="C61" s="62" t="s">
        <v>41</v>
      </c>
      <c r="D61" s="62"/>
      <c r="E61" s="62" t="s">
        <v>42</v>
      </c>
      <c r="F61" s="62"/>
      <c r="G61" s="62" t="s">
        <v>175</v>
      </c>
      <c r="H61" s="62"/>
      <c r="I61" s="62" t="s">
        <v>39</v>
      </c>
      <c r="J61" s="62"/>
    </row>
    <row r="62" spans="1:13" ht="15" customHeight="1" x14ac:dyDescent="0.2">
      <c r="A62" s="71" t="s">
        <v>49</v>
      </c>
      <c r="B62" s="72"/>
      <c r="C62" s="70">
        <v>200</v>
      </c>
      <c r="D62" s="70"/>
      <c r="E62" s="79">
        <v>1000</v>
      </c>
      <c r="F62" s="72"/>
      <c r="G62" s="57">
        <f>MROUND(665*$I$4,5)</f>
        <v>1065</v>
      </c>
      <c r="H62" s="57"/>
      <c r="I62" s="58">
        <f>ROUND(G62*$J$58,0)</f>
        <v>1065</v>
      </c>
      <c r="J62" s="58"/>
      <c r="L62" s="20"/>
      <c r="M62" s="20"/>
    </row>
    <row r="63" spans="1:13" ht="15" customHeight="1" x14ac:dyDescent="0.2">
      <c r="A63" s="73"/>
      <c r="B63" s="74"/>
      <c r="C63" s="70">
        <v>250</v>
      </c>
      <c r="D63" s="70"/>
      <c r="E63" s="73"/>
      <c r="F63" s="74"/>
      <c r="G63" s="57">
        <f>MROUND(705*$I$4,5)</f>
        <v>1125</v>
      </c>
      <c r="H63" s="57"/>
      <c r="I63" s="58">
        <f t="shared" ref="I63:I88" si="2">ROUND(G63*$J$58,0)</f>
        <v>1125</v>
      </c>
      <c r="J63" s="58"/>
      <c r="L63" s="20"/>
      <c r="M63" s="20"/>
    </row>
    <row r="64" spans="1:13" ht="15" customHeight="1" x14ac:dyDescent="0.2">
      <c r="A64" s="73"/>
      <c r="B64" s="74"/>
      <c r="C64" s="70">
        <v>315</v>
      </c>
      <c r="D64" s="70"/>
      <c r="E64" s="73"/>
      <c r="F64" s="74"/>
      <c r="G64" s="57">
        <f>MROUND(760*$I$4,5)</f>
        <v>1215</v>
      </c>
      <c r="H64" s="57"/>
      <c r="I64" s="58">
        <f t="shared" si="2"/>
        <v>1215</v>
      </c>
      <c r="J64" s="58"/>
      <c r="L64" s="20"/>
      <c r="M64" s="20"/>
    </row>
    <row r="65" spans="1:13" ht="15" customHeight="1" x14ac:dyDescent="0.2">
      <c r="A65" s="73"/>
      <c r="B65" s="74"/>
      <c r="C65" s="70">
        <v>400</v>
      </c>
      <c r="D65" s="70"/>
      <c r="E65" s="73"/>
      <c r="F65" s="74"/>
      <c r="G65" s="57">
        <f>MROUND(860*$I$4,5)</f>
        <v>1375</v>
      </c>
      <c r="H65" s="57"/>
      <c r="I65" s="58">
        <f t="shared" si="2"/>
        <v>1375</v>
      </c>
      <c r="J65" s="58"/>
      <c r="L65" s="20"/>
      <c r="M65" s="20"/>
    </row>
    <row r="66" spans="1:13" ht="15" customHeight="1" x14ac:dyDescent="0.2">
      <c r="A66" s="73"/>
      <c r="B66" s="74"/>
      <c r="C66" s="70">
        <v>500</v>
      </c>
      <c r="D66" s="70"/>
      <c r="E66" s="73"/>
      <c r="F66" s="74"/>
      <c r="G66" s="57">
        <f>MROUND(945*$I$4,5)</f>
        <v>1510</v>
      </c>
      <c r="H66" s="57"/>
      <c r="I66" s="58">
        <f t="shared" si="2"/>
        <v>1510</v>
      </c>
      <c r="J66" s="58"/>
      <c r="L66" s="20"/>
      <c r="M66" s="20"/>
    </row>
    <row r="67" spans="1:13" ht="15" customHeight="1" x14ac:dyDescent="0.2">
      <c r="A67" s="73"/>
      <c r="B67" s="74"/>
      <c r="C67" s="70">
        <v>630</v>
      </c>
      <c r="D67" s="70"/>
      <c r="E67" s="73"/>
      <c r="F67" s="74"/>
      <c r="G67" s="57">
        <f>MROUND(1130*$I$4,5)</f>
        <v>1805</v>
      </c>
      <c r="H67" s="57"/>
      <c r="I67" s="58">
        <f t="shared" si="2"/>
        <v>1805</v>
      </c>
      <c r="J67" s="58"/>
      <c r="L67" s="20"/>
      <c r="M67" s="20"/>
    </row>
    <row r="68" spans="1:13" ht="15" customHeight="1" x14ac:dyDescent="0.2">
      <c r="A68" s="73"/>
      <c r="B68" s="74"/>
      <c r="C68" s="70">
        <v>710</v>
      </c>
      <c r="D68" s="70"/>
      <c r="E68" s="73"/>
      <c r="F68" s="74"/>
      <c r="G68" s="57">
        <f>MROUND(1230*$I$4,5)</f>
        <v>1965</v>
      </c>
      <c r="H68" s="57"/>
      <c r="I68" s="58">
        <f t="shared" ref="I68" si="3">ROUND(G68*$J$58,0)</f>
        <v>1965</v>
      </c>
      <c r="J68" s="58"/>
      <c r="L68" s="20"/>
      <c r="M68" s="20"/>
    </row>
    <row r="69" spans="1:13" ht="15" customHeight="1" x14ac:dyDescent="0.2">
      <c r="A69" s="73"/>
      <c r="B69" s="74"/>
      <c r="C69" s="70">
        <v>800</v>
      </c>
      <c r="D69" s="70"/>
      <c r="E69" s="73"/>
      <c r="F69" s="74"/>
      <c r="G69" s="57">
        <f>MROUND(1320*$I$4,5)</f>
        <v>2110</v>
      </c>
      <c r="H69" s="57"/>
      <c r="I69" s="58">
        <f t="shared" si="2"/>
        <v>2110</v>
      </c>
      <c r="J69" s="58"/>
      <c r="L69" s="20"/>
      <c r="M69" s="20"/>
    </row>
    <row r="70" spans="1:13" ht="15" customHeight="1" x14ac:dyDescent="0.2">
      <c r="A70" s="80"/>
      <c r="B70" s="81"/>
      <c r="C70" s="70">
        <v>1000</v>
      </c>
      <c r="D70" s="70"/>
      <c r="E70" s="80"/>
      <c r="F70" s="81"/>
      <c r="G70" s="57">
        <f>MROUND(1525*$I$4,5)</f>
        <v>2440</v>
      </c>
      <c r="H70" s="57"/>
      <c r="I70" s="58">
        <f t="shared" si="2"/>
        <v>2440</v>
      </c>
      <c r="J70" s="58"/>
      <c r="L70" s="20"/>
      <c r="M70" s="20"/>
    </row>
    <row r="71" spans="1:13" ht="15" customHeight="1" x14ac:dyDescent="0.2">
      <c r="A71" s="71" t="s">
        <v>49</v>
      </c>
      <c r="B71" s="72"/>
      <c r="C71" s="70">
        <v>200</v>
      </c>
      <c r="D71" s="70"/>
      <c r="E71" s="79">
        <v>1500</v>
      </c>
      <c r="F71" s="72"/>
      <c r="G71" s="57">
        <f>MROUND(1000*$I$4,5)</f>
        <v>1600</v>
      </c>
      <c r="H71" s="57"/>
      <c r="I71" s="58">
        <f t="shared" si="2"/>
        <v>1600</v>
      </c>
      <c r="J71" s="58"/>
      <c r="L71" s="20"/>
      <c r="M71" s="20"/>
    </row>
    <row r="72" spans="1:13" ht="15" customHeight="1" x14ac:dyDescent="0.2">
      <c r="A72" s="73"/>
      <c r="B72" s="74"/>
      <c r="C72" s="70">
        <v>250</v>
      </c>
      <c r="D72" s="70"/>
      <c r="E72" s="73"/>
      <c r="F72" s="74"/>
      <c r="G72" s="57">
        <f>MROUND(1055*$I$4,5)</f>
        <v>1685</v>
      </c>
      <c r="H72" s="57"/>
      <c r="I72" s="58">
        <f t="shared" si="2"/>
        <v>1685</v>
      </c>
      <c r="J72" s="58"/>
      <c r="L72" s="20"/>
      <c r="M72" s="20"/>
    </row>
    <row r="73" spans="1:13" ht="15" customHeight="1" x14ac:dyDescent="0.2">
      <c r="A73" s="73"/>
      <c r="B73" s="74"/>
      <c r="C73" s="70">
        <v>315</v>
      </c>
      <c r="D73" s="70"/>
      <c r="E73" s="73"/>
      <c r="F73" s="74"/>
      <c r="G73" s="57">
        <f>MROUND(1140*$I$4,5)</f>
        <v>1820</v>
      </c>
      <c r="H73" s="57"/>
      <c r="I73" s="58">
        <f t="shared" si="2"/>
        <v>1820</v>
      </c>
      <c r="J73" s="58"/>
      <c r="L73" s="20"/>
      <c r="M73" s="20"/>
    </row>
    <row r="74" spans="1:13" ht="15" customHeight="1" x14ac:dyDescent="0.2">
      <c r="A74" s="73"/>
      <c r="B74" s="74"/>
      <c r="C74" s="70">
        <v>400</v>
      </c>
      <c r="D74" s="70"/>
      <c r="E74" s="73"/>
      <c r="F74" s="74"/>
      <c r="G74" s="57">
        <f>MROUND(1285*$I$4,5)</f>
        <v>2055</v>
      </c>
      <c r="H74" s="57"/>
      <c r="I74" s="58">
        <f t="shared" si="2"/>
        <v>2055</v>
      </c>
      <c r="J74" s="58"/>
      <c r="L74" s="20"/>
      <c r="M74" s="20"/>
    </row>
    <row r="75" spans="1:13" ht="15" customHeight="1" x14ac:dyDescent="0.2">
      <c r="A75" s="73"/>
      <c r="B75" s="74"/>
      <c r="C75" s="70">
        <v>500</v>
      </c>
      <c r="D75" s="70"/>
      <c r="E75" s="73"/>
      <c r="F75" s="74"/>
      <c r="G75" s="57">
        <f>MROUND(1420*$I$4,5)</f>
        <v>2270</v>
      </c>
      <c r="H75" s="57"/>
      <c r="I75" s="58">
        <f t="shared" si="2"/>
        <v>2270</v>
      </c>
      <c r="J75" s="58"/>
      <c r="L75" s="20"/>
      <c r="M75" s="20"/>
    </row>
    <row r="76" spans="1:13" ht="15" customHeight="1" x14ac:dyDescent="0.2">
      <c r="A76" s="73"/>
      <c r="B76" s="74"/>
      <c r="C76" s="70">
        <v>630</v>
      </c>
      <c r="D76" s="70"/>
      <c r="E76" s="73"/>
      <c r="F76" s="74"/>
      <c r="G76" s="57">
        <f>MROUND(1690*$I$4,5)</f>
        <v>2700</v>
      </c>
      <c r="H76" s="57"/>
      <c r="I76" s="58">
        <f t="shared" si="2"/>
        <v>2700</v>
      </c>
      <c r="J76" s="58"/>
      <c r="L76" s="20"/>
      <c r="M76" s="20"/>
    </row>
    <row r="77" spans="1:13" ht="15" customHeight="1" x14ac:dyDescent="0.2">
      <c r="A77" s="73"/>
      <c r="B77" s="74"/>
      <c r="C77" s="70">
        <v>710</v>
      </c>
      <c r="D77" s="70"/>
      <c r="E77" s="73"/>
      <c r="F77" s="74"/>
      <c r="G77" s="57">
        <f>MROUND(1855*$I$4,5)</f>
        <v>2965</v>
      </c>
      <c r="H77" s="57"/>
      <c r="I77" s="58">
        <f t="shared" ref="I77" si="4">ROUND(G77*$J$58,0)</f>
        <v>2965</v>
      </c>
      <c r="J77" s="58"/>
      <c r="L77" s="20"/>
      <c r="M77" s="20"/>
    </row>
    <row r="78" spans="1:13" ht="15" customHeight="1" x14ac:dyDescent="0.2">
      <c r="A78" s="73"/>
      <c r="B78" s="74"/>
      <c r="C78" s="70">
        <v>800</v>
      </c>
      <c r="D78" s="70"/>
      <c r="E78" s="73"/>
      <c r="F78" s="74"/>
      <c r="G78" s="57">
        <f>MROUND(1980*$I$4,5)</f>
        <v>3165</v>
      </c>
      <c r="H78" s="57"/>
      <c r="I78" s="58">
        <f t="shared" si="2"/>
        <v>3165</v>
      </c>
      <c r="J78" s="58"/>
      <c r="L78" s="20"/>
      <c r="M78" s="20"/>
    </row>
    <row r="79" spans="1:13" ht="15" customHeight="1" x14ac:dyDescent="0.2">
      <c r="A79" s="80"/>
      <c r="B79" s="81"/>
      <c r="C79" s="70">
        <v>1000</v>
      </c>
      <c r="D79" s="70"/>
      <c r="E79" s="80"/>
      <c r="F79" s="81"/>
      <c r="G79" s="57">
        <f>MROUND(2290*$I$4,5)</f>
        <v>3660</v>
      </c>
      <c r="H79" s="57"/>
      <c r="I79" s="58">
        <f t="shared" si="2"/>
        <v>3660</v>
      </c>
      <c r="J79" s="58"/>
      <c r="L79" s="20"/>
      <c r="M79" s="20"/>
    </row>
    <row r="80" spans="1:13" ht="15" customHeight="1" x14ac:dyDescent="0.2">
      <c r="A80" s="71" t="s">
        <v>49</v>
      </c>
      <c r="B80" s="72"/>
      <c r="C80" s="70">
        <v>200</v>
      </c>
      <c r="D80" s="70"/>
      <c r="E80" s="79">
        <v>2000</v>
      </c>
      <c r="F80" s="72"/>
      <c r="G80" s="57">
        <f>MROUND(1330*$I$4,5)</f>
        <v>2125</v>
      </c>
      <c r="H80" s="57"/>
      <c r="I80" s="58">
        <f t="shared" si="2"/>
        <v>2125</v>
      </c>
      <c r="J80" s="58"/>
      <c r="L80" s="20"/>
      <c r="M80" s="20"/>
    </row>
    <row r="81" spans="1:19" ht="15" customHeight="1" x14ac:dyDescent="0.2">
      <c r="A81" s="73"/>
      <c r="B81" s="74"/>
      <c r="C81" s="70">
        <v>250</v>
      </c>
      <c r="D81" s="70"/>
      <c r="E81" s="73"/>
      <c r="F81" s="74"/>
      <c r="G81" s="57">
        <f>MROUND(1410*$I$4,5)</f>
        <v>2255</v>
      </c>
      <c r="H81" s="57"/>
      <c r="I81" s="58">
        <f t="shared" si="2"/>
        <v>2255</v>
      </c>
      <c r="J81" s="58"/>
      <c r="L81" s="20"/>
      <c r="M81" s="20"/>
    </row>
    <row r="82" spans="1:19" ht="15" customHeight="1" x14ac:dyDescent="0.2">
      <c r="A82" s="73"/>
      <c r="B82" s="74"/>
      <c r="C82" s="70">
        <v>315</v>
      </c>
      <c r="D82" s="70"/>
      <c r="E82" s="73"/>
      <c r="F82" s="74"/>
      <c r="G82" s="57">
        <f>MROUND(1520*$I$4,5)</f>
        <v>2430</v>
      </c>
      <c r="H82" s="57"/>
      <c r="I82" s="58">
        <f t="shared" si="2"/>
        <v>2430</v>
      </c>
      <c r="J82" s="58"/>
      <c r="L82" s="20"/>
      <c r="M82" s="20"/>
    </row>
    <row r="83" spans="1:19" ht="15" customHeight="1" x14ac:dyDescent="0.2">
      <c r="A83" s="73"/>
      <c r="B83" s="74"/>
      <c r="C83" s="70">
        <v>400</v>
      </c>
      <c r="D83" s="70"/>
      <c r="E83" s="73"/>
      <c r="F83" s="74"/>
      <c r="G83" s="57">
        <f>MROUND(1715*$I$4,5)</f>
        <v>2740</v>
      </c>
      <c r="H83" s="57"/>
      <c r="I83" s="58">
        <f t="shared" si="2"/>
        <v>2740</v>
      </c>
      <c r="J83" s="58"/>
      <c r="L83" s="20"/>
      <c r="M83" s="20"/>
    </row>
    <row r="84" spans="1:19" ht="15" customHeight="1" x14ac:dyDescent="0.2">
      <c r="A84" s="73"/>
      <c r="B84" s="74"/>
      <c r="C84" s="70">
        <v>500</v>
      </c>
      <c r="D84" s="70"/>
      <c r="E84" s="73"/>
      <c r="F84" s="74"/>
      <c r="G84" s="57">
        <f>MROUND(1890*$I$4,5)</f>
        <v>3020</v>
      </c>
      <c r="H84" s="57"/>
      <c r="I84" s="58">
        <f t="shared" si="2"/>
        <v>3020</v>
      </c>
      <c r="J84" s="58"/>
      <c r="L84" s="20"/>
      <c r="M84" s="20"/>
    </row>
    <row r="85" spans="1:19" ht="15" customHeight="1" x14ac:dyDescent="0.2">
      <c r="A85" s="73"/>
      <c r="B85" s="74"/>
      <c r="C85" s="70">
        <v>630</v>
      </c>
      <c r="D85" s="70"/>
      <c r="E85" s="73"/>
      <c r="F85" s="74"/>
      <c r="G85" s="57">
        <f>MROUND(2255*$I$4,5)</f>
        <v>3605</v>
      </c>
      <c r="H85" s="57"/>
      <c r="I85" s="58">
        <f t="shared" si="2"/>
        <v>3605</v>
      </c>
      <c r="J85" s="58"/>
      <c r="L85" s="20"/>
      <c r="M85" s="20"/>
    </row>
    <row r="86" spans="1:19" ht="15" customHeight="1" x14ac:dyDescent="0.2">
      <c r="A86" s="73"/>
      <c r="B86" s="74"/>
      <c r="C86" s="70">
        <v>710</v>
      </c>
      <c r="D86" s="70"/>
      <c r="E86" s="73"/>
      <c r="F86" s="74"/>
      <c r="G86" s="57">
        <f>MROUND(2460*$I$4,5)</f>
        <v>3930</v>
      </c>
      <c r="H86" s="57"/>
      <c r="I86" s="58">
        <f t="shared" ref="I86" si="5">ROUND(G86*$J$58,0)</f>
        <v>3930</v>
      </c>
      <c r="J86" s="58"/>
      <c r="L86" s="20"/>
      <c r="M86" s="20"/>
    </row>
    <row r="87" spans="1:19" ht="15" customHeight="1" x14ac:dyDescent="0.2">
      <c r="A87" s="73"/>
      <c r="B87" s="74"/>
      <c r="C87" s="70">
        <v>800</v>
      </c>
      <c r="D87" s="70"/>
      <c r="E87" s="73"/>
      <c r="F87" s="74"/>
      <c r="G87" s="57">
        <f>MROUND(2640*$I$4,5)</f>
        <v>4220</v>
      </c>
      <c r="H87" s="57"/>
      <c r="I87" s="58">
        <f t="shared" si="2"/>
        <v>4220</v>
      </c>
      <c r="J87" s="58"/>
      <c r="L87" s="20"/>
      <c r="M87" s="20"/>
    </row>
    <row r="88" spans="1:19" ht="15" customHeight="1" x14ac:dyDescent="0.2">
      <c r="A88" s="80"/>
      <c r="B88" s="81"/>
      <c r="C88" s="70">
        <v>1000</v>
      </c>
      <c r="D88" s="70"/>
      <c r="E88" s="80"/>
      <c r="F88" s="81"/>
      <c r="G88" s="57">
        <f>MROUND(3045*$I$4,5)</f>
        <v>4865</v>
      </c>
      <c r="H88" s="57"/>
      <c r="I88" s="58">
        <f t="shared" si="2"/>
        <v>4865</v>
      </c>
      <c r="J88" s="58"/>
      <c r="L88" s="20"/>
      <c r="M88" s="20"/>
    </row>
    <row r="89" spans="1:19" ht="15" customHeight="1" x14ac:dyDescent="0.2">
      <c r="A89" s="5"/>
      <c r="B89" s="5"/>
      <c r="C89" s="5"/>
      <c r="D89" s="5"/>
      <c r="E89" s="5"/>
      <c r="F89" s="5"/>
      <c r="G89" s="6"/>
      <c r="H89" s="6"/>
      <c r="I89" s="7"/>
      <c r="J89" s="7"/>
    </row>
    <row r="90" spans="1:19" ht="15" customHeight="1" x14ac:dyDescent="0.25">
      <c r="A90" s="59" t="s">
        <v>52</v>
      </c>
      <c r="B90" s="59"/>
      <c r="C90" s="59"/>
      <c r="D90" s="59"/>
      <c r="E90" s="59"/>
      <c r="F90" s="59"/>
      <c r="G90" s="59"/>
      <c r="H90" s="59"/>
      <c r="I90" s="11">
        <v>25</v>
      </c>
      <c r="J90" s="11">
        <v>100</v>
      </c>
    </row>
    <row r="91" spans="1:19" ht="15" customHeight="1" x14ac:dyDescent="0.2">
      <c r="A91" s="55" t="s">
        <v>51</v>
      </c>
      <c r="B91" s="55"/>
      <c r="C91" s="55"/>
      <c r="D91" s="55"/>
      <c r="E91" s="55"/>
      <c r="F91" s="55"/>
      <c r="G91" s="55"/>
      <c r="H91" s="55"/>
      <c r="I91" s="55"/>
      <c r="J91" s="55"/>
    </row>
    <row r="92" spans="1:19" ht="15" customHeight="1" x14ac:dyDescent="0.2">
      <c r="A92" s="77" t="s">
        <v>43</v>
      </c>
      <c r="B92" s="78"/>
      <c r="C92" s="9">
        <v>200</v>
      </c>
      <c r="D92" s="9">
        <v>250</v>
      </c>
      <c r="E92" s="9">
        <v>315</v>
      </c>
      <c r="F92" s="9">
        <v>400</v>
      </c>
      <c r="G92" s="9">
        <v>500</v>
      </c>
      <c r="H92" s="9">
        <v>630</v>
      </c>
      <c r="I92" s="9">
        <v>800</v>
      </c>
      <c r="J92" s="9">
        <v>1000</v>
      </c>
    </row>
    <row r="93" spans="1:19" ht="15" customHeight="1" x14ac:dyDescent="0.2">
      <c r="A93" s="68" t="s">
        <v>171</v>
      </c>
      <c r="B93" s="69"/>
      <c r="C93" s="10">
        <f>MROUND(210*$I$4*$J$58,5)</f>
        <v>335</v>
      </c>
      <c r="D93" s="10">
        <f>MROUND(215*$I$4*$J$58,5)</f>
        <v>345</v>
      </c>
      <c r="E93" s="10">
        <f>MROUND(225*$I$4*$J$58,5)</f>
        <v>360</v>
      </c>
      <c r="F93" s="10">
        <f>MROUND(240*$I$4*$J$58,5)</f>
        <v>385</v>
      </c>
      <c r="G93" s="10">
        <f>MROUND(260*$I$4*$J$58,5)</f>
        <v>415</v>
      </c>
      <c r="H93" s="10">
        <f>MROUND(285*$I$4*$J$58,5)</f>
        <v>455</v>
      </c>
      <c r="I93" s="10">
        <f>MROUND(315*$I$4*$J$58,5)</f>
        <v>505</v>
      </c>
      <c r="J93" s="10">
        <f>MROUND(345*$I$4*$J$58,5)</f>
        <v>550</v>
      </c>
      <c r="L93" s="20"/>
      <c r="M93" s="20"/>
      <c r="N93" s="20"/>
      <c r="O93" s="20"/>
      <c r="P93" s="20"/>
      <c r="Q93" s="20"/>
      <c r="R93" s="20"/>
      <c r="S93" s="20"/>
    </row>
    <row r="94" spans="1:19" ht="15" customHeight="1" x14ac:dyDescent="0.2">
      <c r="A94" s="68" t="s">
        <v>172</v>
      </c>
      <c r="B94" s="69"/>
      <c r="C94" s="10">
        <f>MROUND(190*$I$4*$J$58,5)</f>
        <v>305</v>
      </c>
      <c r="D94" s="10">
        <f>MROUND(200*$I$4*$J$58,5)</f>
        <v>320</v>
      </c>
      <c r="E94" s="10">
        <f>MROUND(210*$I$4*$J$58,5)</f>
        <v>335</v>
      </c>
      <c r="F94" s="10">
        <f>MROUND(225*$I$4*$J$58,5)</f>
        <v>360</v>
      </c>
      <c r="G94" s="10">
        <f>MROUND(240*$I$4*$J$58,5)</f>
        <v>385</v>
      </c>
      <c r="H94" s="10">
        <f>MROUND(255*$I$4*$J$58,5)</f>
        <v>410</v>
      </c>
      <c r="I94" s="10">
        <f>MROUND(280*$I$4*$J$58,5)</f>
        <v>450</v>
      </c>
      <c r="J94" s="10">
        <f>MROUND(300*$I$4*$J$58,5)</f>
        <v>480</v>
      </c>
      <c r="L94" s="20"/>
      <c r="M94" s="20"/>
      <c r="N94" s="20"/>
      <c r="O94" s="20"/>
      <c r="P94" s="20"/>
      <c r="Q94" s="20"/>
      <c r="R94" s="20"/>
      <c r="S94" s="20"/>
    </row>
    <row r="95" spans="1:19" ht="15" customHeight="1" x14ac:dyDescent="0.2">
      <c r="A95" s="68" t="s">
        <v>173</v>
      </c>
      <c r="B95" s="69"/>
      <c r="C95" s="10">
        <f>C94+C93</f>
        <v>640</v>
      </c>
      <c r="D95" s="10">
        <f t="shared" ref="D95:J95" si="6">D94+D93</f>
        <v>665</v>
      </c>
      <c r="E95" s="10">
        <f t="shared" si="6"/>
        <v>695</v>
      </c>
      <c r="F95" s="10">
        <f t="shared" si="6"/>
        <v>745</v>
      </c>
      <c r="G95" s="10">
        <f t="shared" si="6"/>
        <v>800</v>
      </c>
      <c r="H95" s="10">
        <f t="shared" si="6"/>
        <v>865</v>
      </c>
      <c r="I95" s="10">
        <f t="shared" si="6"/>
        <v>955</v>
      </c>
      <c r="J95" s="10">
        <f t="shared" si="6"/>
        <v>1030</v>
      </c>
      <c r="L95" s="20"/>
      <c r="M95" s="20"/>
      <c r="N95" s="20"/>
      <c r="O95" s="20"/>
      <c r="P95" s="20"/>
      <c r="Q95" s="20"/>
      <c r="R95" s="20"/>
      <c r="S95" s="20"/>
    </row>
    <row r="96" spans="1:19" ht="1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3" ht="15" customHeight="1" x14ac:dyDescent="0.2">
      <c r="A97" s="3" t="s">
        <v>162</v>
      </c>
      <c r="B97" s="3"/>
      <c r="C97" s="3"/>
      <c r="D97" s="3"/>
      <c r="E97" s="3"/>
      <c r="F97" s="3"/>
      <c r="G97" s="3"/>
      <c r="H97" s="3"/>
      <c r="I97" s="3"/>
      <c r="J97" s="3"/>
    </row>
    <row r="98" spans="1:13" ht="15" customHeight="1" x14ac:dyDescent="0.2">
      <c r="A98" s="3" t="s">
        <v>163</v>
      </c>
      <c r="B98" s="3"/>
      <c r="C98" s="3"/>
      <c r="D98" s="3"/>
      <c r="E98" s="3"/>
      <c r="F98" s="3"/>
      <c r="G98" s="3"/>
      <c r="H98" s="3"/>
      <c r="I98" s="3"/>
      <c r="J98" s="3"/>
    </row>
    <row r="99" spans="1:13" ht="15" customHeight="1" x14ac:dyDescent="0.2">
      <c r="A99" s="3" t="s">
        <v>35</v>
      </c>
      <c r="B99" s="3"/>
      <c r="C99" s="3"/>
      <c r="D99" s="3"/>
      <c r="E99" s="3"/>
      <c r="F99" s="3"/>
      <c r="G99" s="3"/>
      <c r="H99" s="3"/>
      <c r="I99" s="3"/>
      <c r="J99" s="3"/>
    </row>
    <row r="100" spans="1:13" ht="15" customHeight="1" x14ac:dyDescent="0.2">
      <c r="A100" s="4" t="s">
        <v>33</v>
      </c>
      <c r="B100" s="3"/>
      <c r="C100" s="3"/>
      <c r="D100" s="3"/>
      <c r="E100" s="3"/>
      <c r="F100" s="3"/>
      <c r="G100" s="3"/>
      <c r="H100" s="3"/>
      <c r="I100" s="3"/>
      <c r="J100" s="3"/>
    </row>
    <row r="101" spans="1:13" ht="15" customHeight="1" thickBot="1" x14ac:dyDescent="0.25">
      <c r="I101" s="49" t="s">
        <v>2</v>
      </c>
      <c r="J101" s="49"/>
    </row>
    <row r="102" spans="1:13" ht="15" customHeight="1" x14ac:dyDescent="0.2">
      <c r="I102" s="63">
        <f>I2</f>
        <v>0</v>
      </c>
      <c r="J102" s="64"/>
    </row>
    <row r="103" spans="1:13" ht="15" customHeight="1" thickBot="1" x14ac:dyDescent="0.25">
      <c r="I103" s="65"/>
      <c r="J103" s="66"/>
    </row>
    <row r="104" spans="1:13" ht="15" customHeight="1" x14ac:dyDescent="0.2"/>
    <row r="105" spans="1:13" ht="15" customHeight="1" x14ac:dyDescent="0.2"/>
    <row r="106" spans="1:13" ht="15" customHeight="1" x14ac:dyDescent="0.2">
      <c r="A106" s="50" t="s">
        <v>54</v>
      </c>
      <c r="B106" s="50"/>
      <c r="C106" s="50"/>
      <c r="D106" s="50"/>
      <c r="E106" s="50"/>
      <c r="F106" s="50"/>
      <c r="G106" s="50"/>
      <c r="H106" s="50"/>
    </row>
    <row r="107" spans="1:13" ht="15" customHeight="1" x14ac:dyDescent="0.2">
      <c r="A107" s="50"/>
      <c r="B107" s="50"/>
      <c r="C107" s="50"/>
      <c r="D107" s="50"/>
      <c r="E107" s="50"/>
      <c r="F107" s="50"/>
      <c r="G107" s="50"/>
      <c r="H107" s="50"/>
    </row>
    <row r="108" spans="1:13" ht="15" customHeight="1" x14ac:dyDescent="0.2">
      <c r="J108" s="23">
        <f>1-I102</f>
        <v>1</v>
      </c>
    </row>
    <row r="109" spans="1:13" ht="15" customHeight="1" x14ac:dyDescent="0.25">
      <c r="A109" s="59" t="s">
        <v>37</v>
      </c>
      <c r="B109" s="59"/>
      <c r="C109" s="59"/>
      <c r="D109" s="59"/>
      <c r="E109" s="59"/>
      <c r="F109" s="59"/>
      <c r="G109" s="59"/>
      <c r="H109" s="59"/>
      <c r="I109" s="67" t="s">
        <v>38</v>
      </c>
      <c r="J109" s="67"/>
    </row>
    <row r="110" spans="1:13" ht="15" customHeight="1" x14ac:dyDescent="0.2">
      <c r="A110" s="55" t="s">
        <v>48</v>
      </c>
      <c r="B110" s="55"/>
      <c r="C110" s="55"/>
      <c r="D110" s="55"/>
      <c r="E110" s="55"/>
      <c r="F110" s="55"/>
      <c r="G110" s="55"/>
      <c r="H110" s="55"/>
      <c r="I110" s="55"/>
      <c r="J110" s="55"/>
    </row>
    <row r="111" spans="1:13" ht="15" customHeight="1" x14ac:dyDescent="0.25">
      <c r="A111" s="62" t="s">
        <v>40</v>
      </c>
      <c r="B111" s="62"/>
      <c r="C111" s="62" t="s">
        <v>41</v>
      </c>
      <c r="D111" s="62"/>
      <c r="E111" s="62" t="s">
        <v>42</v>
      </c>
      <c r="F111" s="62"/>
      <c r="G111" s="62" t="s">
        <v>175</v>
      </c>
      <c r="H111" s="62"/>
      <c r="I111" s="62" t="s">
        <v>39</v>
      </c>
      <c r="J111" s="62"/>
    </row>
    <row r="112" spans="1:13" ht="15" customHeight="1" x14ac:dyDescent="0.2">
      <c r="A112" s="71" t="s">
        <v>50</v>
      </c>
      <c r="B112" s="72"/>
      <c r="C112" s="70">
        <v>315</v>
      </c>
      <c r="D112" s="70"/>
      <c r="E112" s="79">
        <v>1000</v>
      </c>
      <c r="F112" s="72"/>
      <c r="G112" s="57">
        <f>MROUND(980*$I$4,5)</f>
        <v>1565</v>
      </c>
      <c r="H112" s="57"/>
      <c r="I112" s="58">
        <f>ROUND(G112*$J$108,0)</f>
        <v>1565</v>
      </c>
      <c r="J112" s="58"/>
      <c r="L112" s="20"/>
      <c r="M112" s="20"/>
    </row>
    <row r="113" spans="1:13" ht="15" customHeight="1" x14ac:dyDescent="0.2">
      <c r="A113" s="73"/>
      <c r="B113" s="74"/>
      <c r="C113" s="70">
        <v>400</v>
      </c>
      <c r="D113" s="70"/>
      <c r="E113" s="73"/>
      <c r="F113" s="74"/>
      <c r="G113" s="57">
        <f>MROUND(1095*$I$4,5)</f>
        <v>1750</v>
      </c>
      <c r="H113" s="57"/>
      <c r="I113" s="58">
        <f t="shared" ref="I113:I132" si="7">ROUND(G113*$J$108,0)</f>
        <v>1750</v>
      </c>
      <c r="J113" s="58"/>
      <c r="L113" s="20"/>
      <c r="M113" s="20"/>
    </row>
    <row r="114" spans="1:13" ht="15" customHeight="1" x14ac:dyDescent="0.2">
      <c r="A114" s="73"/>
      <c r="B114" s="74"/>
      <c r="C114" s="70">
        <v>500</v>
      </c>
      <c r="D114" s="70"/>
      <c r="E114" s="73"/>
      <c r="F114" s="74"/>
      <c r="G114" s="57">
        <f>MROUND(1220*$I$4,5)</f>
        <v>1950</v>
      </c>
      <c r="H114" s="57"/>
      <c r="I114" s="58">
        <f t="shared" si="7"/>
        <v>1950</v>
      </c>
      <c r="J114" s="58"/>
      <c r="L114" s="20"/>
      <c r="M114" s="20"/>
    </row>
    <row r="115" spans="1:13" ht="15" customHeight="1" x14ac:dyDescent="0.2">
      <c r="A115" s="73"/>
      <c r="B115" s="74"/>
      <c r="C115" s="70">
        <v>630</v>
      </c>
      <c r="D115" s="70"/>
      <c r="E115" s="73"/>
      <c r="F115" s="74"/>
      <c r="G115" s="57">
        <f>MROUND(1430*$I$4,5)</f>
        <v>2285</v>
      </c>
      <c r="H115" s="57"/>
      <c r="I115" s="58">
        <f t="shared" si="7"/>
        <v>2285</v>
      </c>
      <c r="J115" s="58"/>
      <c r="L115" s="20"/>
      <c r="M115" s="20"/>
    </row>
    <row r="116" spans="1:13" ht="15" customHeight="1" x14ac:dyDescent="0.2">
      <c r="A116" s="73"/>
      <c r="B116" s="74"/>
      <c r="C116" s="70">
        <v>710</v>
      </c>
      <c r="D116" s="70"/>
      <c r="E116" s="73"/>
      <c r="F116" s="74"/>
      <c r="G116" s="57">
        <f>MROUND(1575*$I$4,5)</f>
        <v>2520</v>
      </c>
      <c r="H116" s="57"/>
      <c r="I116" s="58">
        <f t="shared" si="7"/>
        <v>2520</v>
      </c>
      <c r="J116" s="58"/>
      <c r="L116" s="20"/>
      <c r="M116" s="20"/>
    </row>
    <row r="117" spans="1:13" ht="15" customHeight="1" x14ac:dyDescent="0.2">
      <c r="A117" s="73"/>
      <c r="B117" s="74"/>
      <c r="C117" s="70">
        <v>800</v>
      </c>
      <c r="D117" s="70"/>
      <c r="E117" s="73"/>
      <c r="F117" s="74"/>
      <c r="G117" s="57">
        <f>MROUND(1680*$I$4,5)</f>
        <v>2685</v>
      </c>
      <c r="H117" s="57"/>
      <c r="I117" s="58">
        <f t="shared" si="7"/>
        <v>2685</v>
      </c>
      <c r="J117" s="58"/>
      <c r="L117" s="20"/>
      <c r="M117" s="20"/>
    </row>
    <row r="118" spans="1:13" ht="15" customHeight="1" x14ac:dyDescent="0.2">
      <c r="A118" s="73"/>
      <c r="B118" s="74"/>
      <c r="C118" s="70">
        <v>1000</v>
      </c>
      <c r="D118" s="70"/>
      <c r="E118" s="73"/>
      <c r="F118" s="74"/>
      <c r="G118" s="57">
        <f>MROUND(1935*$I$4,5)</f>
        <v>3095</v>
      </c>
      <c r="H118" s="57"/>
      <c r="I118" s="58">
        <f t="shared" si="7"/>
        <v>3095</v>
      </c>
      <c r="J118" s="58"/>
      <c r="L118" s="20"/>
      <c r="M118" s="20"/>
    </row>
    <row r="119" spans="1:13" ht="15" customHeight="1" x14ac:dyDescent="0.2">
      <c r="A119" s="71" t="s">
        <v>50</v>
      </c>
      <c r="B119" s="72"/>
      <c r="C119" s="70">
        <v>315</v>
      </c>
      <c r="D119" s="70"/>
      <c r="E119" s="79">
        <v>1500</v>
      </c>
      <c r="F119" s="72"/>
      <c r="G119" s="57">
        <f>MROUND(1470*$I$4,5)</f>
        <v>2350</v>
      </c>
      <c r="H119" s="57"/>
      <c r="I119" s="58">
        <f t="shared" si="7"/>
        <v>2350</v>
      </c>
      <c r="J119" s="58"/>
      <c r="L119" s="20"/>
      <c r="M119" s="20"/>
    </row>
    <row r="120" spans="1:13" ht="15" customHeight="1" x14ac:dyDescent="0.2">
      <c r="A120" s="73"/>
      <c r="B120" s="74"/>
      <c r="C120" s="70">
        <v>400</v>
      </c>
      <c r="D120" s="70"/>
      <c r="E120" s="73"/>
      <c r="F120" s="74"/>
      <c r="G120" s="57">
        <f>MROUND(1645*$I$4,5)</f>
        <v>2630</v>
      </c>
      <c r="H120" s="57"/>
      <c r="I120" s="58">
        <f t="shared" si="7"/>
        <v>2630</v>
      </c>
      <c r="J120" s="58"/>
      <c r="L120" s="20"/>
      <c r="M120" s="20"/>
    </row>
    <row r="121" spans="1:13" ht="15" customHeight="1" x14ac:dyDescent="0.2">
      <c r="A121" s="73"/>
      <c r="B121" s="74"/>
      <c r="C121" s="70">
        <v>500</v>
      </c>
      <c r="D121" s="70"/>
      <c r="E121" s="73"/>
      <c r="F121" s="74"/>
      <c r="G121" s="57">
        <f>MROUND(1830*$I$4,5)</f>
        <v>2925</v>
      </c>
      <c r="H121" s="57"/>
      <c r="I121" s="58">
        <f t="shared" si="7"/>
        <v>2925</v>
      </c>
      <c r="J121" s="58"/>
      <c r="L121" s="20"/>
      <c r="M121" s="20"/>
    </row>
    <row r="122" spans="1:13" ht="15" customHeight="1" x14ac:dyDescent="0.2">
      <c r="A122" s="73"/>
      <c r="B122" s="74"/>
      <c r="C122" s="70">
        <v>630</v>
      </c>
      <c r="D122" s="70"/>
      <c r="E122" s="73"/>
      <c r="F122" s="74"/>
      <c r="G122" s="57">
        <f>MROUND(2145*$I$4,5)</f>
        <v>3430</v>
      </c>
      <c r="H122" s="57"/>
      <c r="I122" s="58">
        <f t="shared" si="7"/>
        <v>3430</v>
      </c>
      <c r="J122" s="58"/>
      <c r="L122" s="20"/>
      <c r="M122" s="20"/>
    </row>
    <row r="123" spans="1:13" ht="15" customHeight="1" x14ac:dyDescent="0.2">
      <c r="A123" s="73"/>
      <c r="B123" s="74"/>
      <c r="C123" s="70">
        <v>710</v>
      </c>
      <c r="D123" s="70"/>
      <c r="E123" s="73"/>
      <c r="F123" s="74"/>
      <c r="G123" s="57">
        <f>MROUND(2360*$I$4,5)</f>
        <v>3770</v>
      </c>
      <c r="H123" s="57"/>
      <c r="I123" s="58">
        <f t="shared" si="7"/>
        <v>3770</v>
      </c>
      <c r="J123" s="58"/>
      <c r="L123" s="20"/>
      <c r="M123" s="20"/>
    </row>
    <row r="124" spans="1:13" ht="15" customHeight="1" x14ac:dyDescent="0.2">
      <c r="A124" s="73"/>
      <c r="B124" s="74"/>
      <c r="C124" s="70">
        <v>800</v>
      </c>
      <c r="D124" s="70"/>
      <c r="E124" s="73"/>
      <c r="F124" s="74"/>
      <c r="G124" s="57">
        <f>MROUND(2520*$I$4,5)</f>
        <v>4030</v>
      </c>
      <c r="H124" s="57"/>
      <c r="I124" s="58">
        <f t="shared" si="7"/>
        <v>4030</v>
      </c>
      <c r="J124" s="58"/>
      <c r="L124" s="20"/>
      <c r="M124" s="20"/>
    </row>
    <row r="125" spans="1:13" ht="15" customHeight="1" x14ac:dyDescent="0.2">
      <c r="A125" s="73"/>
      <c r="B125" s="74"/>
      <c r="C125" s="70">
        <v>1000</v>
      </c>
      <c r="D125" s="70"/>
      <c r="E125" s="73"/>
      <c r="F125" s="74"/>
      <c r="G125" s="57">
        <f>MROUND(2905*$I$4,5)</f>
        <v>4645</v>
      </c>
      <c r="H125" s="57"/>
      <c r="I125" s="58">
        <f t="shared" si="7"/>
        <v>4645</v>
      </c>
      <c r="J125" s="58"/>
      <c r="L125" s="20"/>
      <c r="M125" s="20"/>
    </row>
    <row r="126" spans="1:13" ht="15" customHeight="1" x14ac:dyDescent="0.2">
      <c r="A126" s="75" t="s">
        <v>50</v>
      </c>
      <c r="B126" s="76"/>
      <c r="C126" s="70">
        <v>315</v>
      </c>
      <c r="D126" s="70"/>
      <c r="E126" s="76">
        <v>2000</v>
      </c>
      <c r="F126" s="76"/>
      <c r="G126" s="57">
        <f>MROUND(1960*$I$4,5)</f>
        <v>3135</v>
      </c>
      <c r="H126" s="57"/>
      <c r="I126" s="58">
        <f t="shared" si="7"/>
        <v>3135</v>
      </c>
      <c r="J126" s="58"/>
      <c r="L126" s="20"/>
      <c r="M126" s="20"/>
    </row>
    <row r="127" spans="1:13" ht="15" customHeight="1" x14ac:dyDescent="0.2">
      <c r="A127" s="76"/>
      <c r="B127" s="76"/>
      <c r="C127" s="70">
        <v>400</v>
      </c>
      <c r="D127" s="70"/>
      <c r="E127" s="76"/>
      <c r="F127" s="76"/>
      <c r="G127" s="57">
        <f>MROUND(2190*$I$4,5)</f>
        <v>3500</v>
      </c>
      <c r="H127" s="57"/>
      <c r="I127" s="58">
        <f t="shared" si="7"/>
        <v>3500</v>
      </c>
      <c r="J127" s="58"/>
      <c r="L127" s="20"/>
      <c r="M127" s="20"/>
    </row>
    <row r="128" spans="1:13" ht="15" customHeight="1" x14ac:dyDescent="0.2">
      <c r="A128" s="76"/>
      <c r="B128" s="76"/>
      <c r="C128" s="70">
        <v>500</v>
      </c>
      <c r="D128" s="70"/>
      <c r="E128" s="76"/>
      <c r="F128" s="76"/>
      <c r="G128" s="57">
        <f>MROUND(2440*$I$4,5)</f>
        <v>3900</v>
      </c>
      <c r="H128" s="57"/>
      <c r="I128" s="58">
        <f t="shared" si="7"/>
        <v>3900</v>
      </c>
      <c r="J128" s="58"/>
      <c r="L128" s="20"/>
      <c r="M128" s="20"/>
    </row>
    <row r="129" spans="1:19" ht="15" customHeight="1" x14ac:dyDescent="0.2">
      <c r="A129" s="76"/>
      <c r="B129" s="76"/>
      <c r="C129" s="70">
        <v>630</v>
      </c>
      <c r="D129" s="70"/>
      <c r="E129" s="76"/>
      <c r="F129" s="76"/>
      <c r="G129" s="57">
        <f>MROUND(2860*$I$4,5)</f>
        <v>4570</v>
      </c>
      <c r="H129" s="57"/>
      <c r="I129" s="58">
        <f t="shared" si="7"/>
        <v>4570</v>
      </c>
      <c r="J129" s="58"/>
      <c r="L129" s="20"/>
      <c r="M129" s="20"/>
    </row>
    <row r="130" spans="1:19" ht="15" customHeight="1" x14ac:dyDescent="0.2">
      <c r="A130" s="76"/>
      <c r="B130" s="76"/>
      <c r="C130" s="70">
        <v>710</v>
      </c>
      <c r="D130" s="70"/>
      <c r="E130" s="76"/>
      <c r="F130" s="76"/>
      <c r="G130" s="57">
        <f>MROUND(3120*$I$4,5)</f>
        <v>4985</v>
      </c>
      <c r="H130" s="57"/>
      <c r="I130" s="58">
        <f t="shared" si="7"/>
        <v>4985</v>
      </c>
      <c r="J130" s="58"/>
      <c r="L130" s="20"/>
      <c r="M130" s="20"/>
    </row>
    <row r="131" spans="1:19" ht="15" customHeight="1" x14ac:dyDescent="0.2">
      <c r="A131" s="76"/>
      <c r="B131" s="76"/>
      <c r="C131" s="70">
        <v>800</v>
      </c>
      <c r="D131" s="70"/>
      <c r="E131" s="76"/>
      <c r="F131" s="76"/>
      <c r="G131" s="57">
        <f>MROUND(3355*$I$4,5)</f>
        <v>5365</v>
      </c>
      <c r="H131" s="57"/>
      <c r="I131" s="58">
        <f t="shared" si="7"/>
        <v>5365</v>
      </c>
      <c r="J131" s="58"/>
      <c r="L131" s="20"/>
      <c r="M131" s="20"/>
    </row>
    <row r="132" spans="1:19" ht="15" customHeight="1" x14ac:dyDescent="0.2">
      <c r="A132" s="76"/>
      <c r="B132" s="76"/>
      <c r="C132" s="70">
        <v>1000</v>
      </c>
      <c r="D132" s="70"/>
      <c r="E132" s="76"/>
      <c r="F132" s="76"/>
      <c r="G132" s="57">
        <f>MROUND(3870*$I$4,5)</f>
        <v>6185</v>
      </c>
      <c r="H132" s="57"/>
      <c r="I132" s="58">
        <f t="shared" si="7"/>
        <v>6185</v>
      </c>
      <c r="J132" s="58"/>
      <c r="L132" s="20"/>
      <c r="M132" s="20"/>
    </row>
    <row r="133" spans="1:19" ht="15" customHeight="1" x14ac:dyDescent="0.2">
      <c r="A133" s="12"/>
      <c r="B133" s="12"/>
      <c r="C133" s="13"/>
      <c r="D133" s="13"/>
      <c r="E133" s="12"/>
      <c r="F133" s="12"/>
      <c r="G133" s="6"/>
      <c r="H133" s="6"/>
      <c r="I133" s="7"/>
      <c r="J133" s="7"/>
    </row>
    <row r="134" spans="1:19" ht="15" customHeight="1" x14ac:dyDescent="0.2">
      <c r="A134" s="12"/>
      <c r="B134" s="12"/>
      <c r="C134" s="13"/>
      <c r="D134" s="13"/>
      <c r="E134" s="12"/>
      <c r="F134" s="12"/>
      <c r="G134" s="6"/>
      <c r="H134" s="6"/>
      <c r="I134" s="7"/>
      <c r="J134" s="7"/>
    </row>
    <row r="135" spans="1:19" ht="15" customHeight="1" x14ac:dyDescent="0.2">
      <c r="A135" s="12"/>
      <c r="B135" s="12"/>
      <c r="C135" s="13"/>
      <c r="D135" s="13"/>
      <c r="E135" s="12"/>
      <c r="F135" s="12"/>
      <c r="G135" s="6"/>
      <c r="H135" s="6"/>
      <c r="I135" s="7"/>
      <c r="J135" s="7"/>
    </row>
    <row r="136" spans="1:19" ht="15" customHeight="1" x14ac:dyDescent="0.2">
      <c r="A136" s="12"/>
      <c r="B136" s="12"/>
      <c r="C136" s="13"/>
      <c r="D136" s="13"/>
      <c r="E136" s="12"/>
      <c r="F136" s="12"/>
      <c r="G136" s="6"/>
      <c r="H136" s="6"/>
      <c r="I136" s="7"/>
      <c r="J136" s="7"/>
    </row>
    <row r="137" spans="1:19" ht="15" customHeight="1" x14ac:dyDescent="0.2">
      <c r="A137" s="12"/>
      <c r="B137" s="12"/>
      <c r="C137" s="13"/>
      <c r="D137" s="13"/>
      <c r="E137" s="12"/>
      <c r="F137" s="12"/>
      <c r="G137" s="6"/>
      <c r="H137" s="6"/>
      <c r="I137" s="7"/>
      <c r="J137" s="7"/>
    </row>
    <row r="138" spans="1:19" ht="15" customHeight="1" x14ac:dyDescent="0.2">
      <c r="A138" s="12"/>
      <c r="B138" s="12"/>
      <c r="C138" s="13"/>
      <c r="D138" s="13"/>
      <c r="E138" s="12"/>
      <c r="F138" s="12"/>
      <c r="G138" s="6"/>
      <c r="H138" s="6"/>
      <c r="I138" s="7"/>
      <c r="J138" s="7"/>
    </row>
    <row r="139" spans="1:19" ht="15" customHeight="1" x14ac:dyDescent="0.2">
      <c r="A139" s="5"/>
      <c r="B139" s="5"/>
      <c r="C139" s="5"/>
      <c r="D139" s="5"/>
      <c r="E139" s="5"/>
      <c r="F139" s="5"/>
      <c r="G139" s="6"/>
      <c r="H139" s="6"/>
      <c r="I139" s="7"/>
      <c r="J139" s="7"/>
    </row>
    <row r="140" spans="1:19" ht="15" customHeight="1" x14ac:dyDescent="0.25">
      <c r="A140" s="59" t="s">
        <v>53</v>
      </c>
      <c r="B140" s="59"/>
      <c r="C140" s="59"/>
      <c r="D140" s="59"/>
      <c r="E140" s="59"/>
      <c r="F140" s="59"/>
      <c r="G140" s="59"/>
      <c r="H140" s="59"/>
      <c r="I140" s="11">
        <v>25</v>
      </c>
      <c r="J140" s="11">
        <v>100</v>
      </c>
    </row>
    <row r="141" spans="1:19" ht="15" customHeight="1" x14ac:dyDescent="0.2">
      <c r="A141" s="55" t="s">
        <v>51</v>
      </c>
      <c r="B141" s="55"/>
      <c r="C141" s="55"/>
      <c r="D141" s="55"/>
      <c r="E141" s="55"/>
      <c r="F141" s="55"/>
      <c r="G141" s="55"/>
      <c r="H141" s="55"/>
      <c r="I141" s="55"/>
      <c r="J141" s="55"/>
    </row>
    <row r="142" spans="1:19" ht="15" customHeight="1" x14ac:dyDescent="0.2">
      <c r="A142" s="77" t="s">
        <v>43</v>
      </c>
      <c r="B142" s="78"/>
      <c r="C142" s="9">
        <v>200</v>
      </c>
      <c r="D142" s="9">
        <v>250</v>
      </c>
      <c r="E142" s="9">
        <v>315</v>
      </c>
      <c r="F142" s="9">
        <v>400</v>
      </c>
      <c r="G142" s="9">
        <v>500</v>
      </c>
      <c r="H142" s="9">
        <v>630</v>
      </c>
      <c r="I142" s="9">
        <v>800</v>
      </c>
      <c r="J142" s="9">
        <v>1000</v>
      </c>
    </row>
    <row r="143" spans="1:19" ht="15" customHeight="1" x14ac:dyDescent="0.2">
      <c r="A143" s="68" t="s">
        <v>171</v>
      </c>
      <c r="B143" s="69"/>
      <c r="C143" s="10">
        <f>MROUND(225*$I$4*$J$108,5)</f>
        <v>360</v>
      </c>
      <c r="D143" s="10">
        <f>MROUND(240*$I$4*$J$108,5)</f>
        <v>385</v>
      </c>
      <c r="E143" s="10">
        <f>MROUND(255*$I$4*$J$108,5)</f>
        <v>410</v>
      </c>
      <c r="F143" s="10">
        <f>MROUND(275*$I$4*$J$108,5)</f>
        <v>440</v>
      </c>
      <c r="G143" s="10">
        <f>MROUND(300*$I$4*$J$108,5)</f>
        <v>480</v>
      </c>
      <c r="H143" s="10">
        <f>MROUND(340*$I$4*$J$108,5)</f>
        <v>545</v>
      </c>
      <c r="I143" s="10">
        <f>MROUND(375*$I$4*$J$108,5)</f>
        <v>600</v>
      </c>
      <c r="J143" s="10">
        <f>MROUND(430*$I$4*$J$108,5)</f>
        <v>685</v>
      </c>
      <c r="L143" s="20"/>
      <c r="M143" s="20"/>
      <c r="N143" s="20"/>
      <c r="O143" s="20"/>
      <c r="P143" s="20"/>
      <c r="Q143" s="20"/>
      <c r="R143" s="20"/>
      <c r="S143" s="20"/>
    </row>
    <row r="144" spans="1:19" ht="15" customHeight="1" x14ac:dyDescent="0.2">
      <c r="A144" s="68" t="s">
        <v>172</v>
      </c>
      <c r="B144" s="69"/>
      <c r="C144" s="10">
        <f>MROUND(210*$I$4*$J$108,5)</f>
        <v>335</v>
      </c>
      <c r="D144" s="10">
        <f>MROUND(215*$I$4*$J$108,5)</f>
        <v>345</v>
      </c>
      <c r="E144" s="10">
        <f>MROUND(230*$I$4*$J$108,5)</f>
        <v>370</v>
      </c>
      <c r="F144" s="10">
        <f>MROUND(245*$I$4*$J$108,5)</f>
        <v>390</v>
      </c>
      <c r="G144" s="10">
        <f>MROUND(260*$I$4*$J$108,5)</f>
        <v>415</v>
      </c>
      <c r="H144" s="10">
        <f>MROUND(290*$I$4*$J$108,5)</f>
        <v>465</v>
      </c>
      <c r="I144" s="10">
        <f>MROUND(325*$I$4*$J$108,5)</f>
        <v>520</v>
      </c>
      <c r="J144" s="10">
        <f>MROUND(360*$I$4*$J$108,5)</f>
        <v>575</v>
      </c>
      <c r="L144" s="20"/>
      <c r="M144" s="20"/>
      <c r="N144" s="20"/>
      <c r="O144" s="20"/>
      <c r="P144" s="20"/>
      <c r="Q144" s="20"/>
      <c r="R144" s="20"/>
      <c r="S144" s="20"/>
    </row>
    <row r="145" spans="1:19" ht="15" customHeight="1" x14ac:dyDescent="0.2">
      <c r="A145" s="68" t="s">
        <v>173</v>
      </c>
      <c r="B145" s="69"/>
      <c r="C145" s="10">
        <f>C144+C143</f>
        <v>695</v>
      </c>
      <c r="D145" s="10">
        <f t="shared" ref="D145" si="8">D144+D143</f>
        <v>730</v>
      </c>
      <c r="E145" s="10">
        <f t="shared" ref="E145" si="9">E144+E143</f>
        <v>780</v>
      </c>
      <c r="F145" s="10">
        <f t="shared" ref="F145" si="10">F144+F143</f>
        <v>830</v>
      </c>
      <c r="G145" s="10">
        <f t="shared" ref="G145" si="11">G144+G143</f>
        <v>895</v>
      </c>
      <c r="H145" s="10">
        <f t="shared" ref="H145" si="12">H144+H143</f>
        <v>1010</v>
      </c>
      <c r="I145" s="10">
        <f t="shared" ref="I145" si="13">I144+I143</f>
        <v>1120</v>
      </c>
      <c r="J145" s="10">
        <f t="shared" ref="J145" si="14">J144+J143</f>
        <v>1260</v>
      </c>
      <c r="L145" s="20"/>
      <c r="M145" s="20"/>
      <c r="N145" s="20"/>
      <c r="O145" s="20"/>
      <c r="P145" s="20"/>
      <c r="Q145" s="20"/>
      <c r="R145" s="20"/>
      <c r="S145" s="20"/>
    </row>
    <row r="146" spans="1:19" ht="1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9" ht="15" customHeight="1" x14ac:dyDescent="0.2">
      <c r="A147" s="3" t="s">
        <v>162</v>
      </c>
      <c r="B147" s="3"/>
      <c r="C147" s="3"/>
      <c r="D147" s="3"/>
      <c r="E147" s="3"/>
      <c r="F147" s="3"/>
      <c r="G147" s="3"/>
      <c r="H147" s="3"/>
      <c r="I147" s="3"/>
      <c r="J147" s="3"/>
    </row>
    <row r="148" spans="1:19" ht="15" customHeight="1" x14ac:dyDescent="0.2">
      <c r="A148" s="3" t="s">
        <v>163</v>
      </c>
      <c r="B148" s="3"/>
      <c r="C148" s="3"/>
      <c r="D148" s="3"/>
      <c r="E148" s="3"/>
      <c r="F148" s="3"/>
      <c r="G148" s="3"/>
      <c r="H148" s="3"/>
      <c r="I148" s="3"/>
      <c r="J148" s="3"/>
    </row>
    <row r="149" spans="1:19" ht="15" customHeight="1" x14ac:dyDescent="0.2">
      <c r="A149" s="3" t="s">
        <v>35</v>
      </c>
      <c r="B149" s="3"/>
      <c r="C149" s="3"/>
      <c r="D149" s="3"/>
      <c r="E149" s="3"/>
      <c r="F149" s="3"/>
      <c r="G149" s="3"/>
      <c r="H149" s="3"/>
      <c r="I149" s="3"/>
      <c r="J149" s="3"/>
    </row>
    <row r="150" spans="1:19" ht="15" customHeight="1" x14ac:dyDescent="0.2">
      <c r="A150" s="4" t="s">
        <v>33</v>
      </c>
      <c r="B150" s="3"/>
      <c r="C150" s="3"/>
      <c r="D150" s="3"/>
      <c r="E150" s="3"/>
      <c r="F150" s="3"/>
      <c r="G150" s="3"/>
      <c r="H150" s="3"/>
      <c r="I150" s="3"/>
      <c r="J150" s="3"/>
    </row>
    <row r="151" spans="1:19" ht="15" customHeight="1" x14ac:dyDescent="0.2"/>
    <row r="152" spans="1:19" ht="15" customHeight="1" x14ac:dyDescent="0.2"/>
    <row r="153" spans="1:19" ht="15" customHeight="1" x14ac:dyDescent="0.2"/>
    <row r="154" spans="1:19" ht="15" customHeight="1" x14ac:dyDescent="0.2"/>
    <row r="155" spans="1:19" ht="15" customHeight="1" x14ac:dyDescent="0.2"/>
    <row r="156" spans="1:19" ht="15" customHeight="1" x14ac:dyDescent="0.2"/>
    <row r="157" spans="1:19" ht="15" customHeight="1" x14ac:dyDescent="0.2"/>
    <row r="158" spans="1:19" ht="15" customHeight="1" x14ac:dyDescent="0.2"/>
    <row r="159" spans="1:19" ht="15" customHeight="1" x14ac:dyDescent="0.2"/>
    <row r="160" spans="1:19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</sheetData>
  <sheetProtection algorithmName="SHA-512" hashValue="OFPBqA/z8vK3soLHS6XSq46mRtAW1G5rTlsS7/AkBKB5N7YmujcCVZrGa7AZdeAD8ctKjyoiyIYxLc8yqGR8/g==" saltValue="NOKe7BLFTh0NtsXEnqe8Fg==" spinCount="100000" sheet="1" objects="1" scenarios="1"/>
  <mergeCells count="294">
    <mergeCell ref="I1:J1"/>
    <mergeCell ref="A6:H7"/>
    <mergeCell ref="I2:J3"/>
    <mergeCell ref="A9:H9"/>
    <mergeCell ref="I9:J9"/>
    <mergeCell ref="G11:H11"/>
    <mergeCell ref="I11:J11"/>
    <mergeCell ref="A11:B11"/>
    <mergeCell ref="C11:D11"/>
    <mergeCell ref="E11:F11"/>
    <mergeCell ref="G14:H14"/>
    <mergeCell ref="I14:J14"/>
    <mergeCell ref="G15:H15"/>
    <mergeCell ref="I15:J15"/>
    <mergeCell ref="C14:D14"/>
    <mergeCell ref="G12:H12"/>
    <mergeCell ref="I12:J12"/>
    <mergeCell ref="G13:H13"/>
    <mergeCell ref="I13:J13"/>
    <mergeCell ref="C12:D12"/>
    <mergeCell ref="C13:D13"/>
    <mergeCell ref="G21:H21"/>
    <mergeCell ref="I21:J21"/>
    <mergeCell ref="G22:H22"/>
    <mergeCell ref="G19:H19"/>
    <mergeCell ref="I19:J19"/>
    <mergeCell ref="G20:H20"/>
    <mergeCell ref="I20:J20"/>
    <mergeCell ref="C19:D19"/>
    <mergeCell ref="G16:H16"/>
    <mergeCell ref="I16:J16"/>
    <mergeCell ref="G17:H17"/>
    <mergeCell ref="I17:J17"/>
    <mergeCell ref="C17:D17"/>
    <mergeCell ref="I22:J22"/>
    <mergeCell ref="C18:D18"/>
    <mergeCell ref="G18:H18"/>
    <mergeCell ref="I18:J18"/>
    <mergeCell ref="A61:B61"/>
    <mergeCell ref="C61:D61"/>
    <mergeCell ref="E61:F61"/>
    <mergeCell ref="A62:B70"/>
    <mergeCell ref="I59:J59"/>
    <mergeCell ref="A59:H59"/>
    <mergeCell ref="A60:J60"/>
    <mergeCell ref="C62:D62"/>
    <mergeCell ref="E62:F70"/>
    <mergeCell ref="C63:D63"/>
    <mergeCell ref="G63:H63"/>
    <mergeCell ref="I63:J63"/>
    <mergeCell ref="C64:D64"/>
    <mergeCell ref="G64:H64"/>
    <mergeCell ref="I64:J64"/>
    <mergeCell ref="C65:D65"/>
    <mergeCell ref="G65:H65"/>
    <mergeCell ref="C69:D69"/>
    <mergeCell ref="G69:H69"/>
    <mergeCell ref="I69:J69"/>
    <mergeCell ref="C70:D70"/>
    <mergeCell ref="G70:H70"/>
    <mergeCell ref="I70:J70"/>
    <mergeCell ref="I65:J65"/>
    <mergeCell ref="G23:H23"/>
    <mergeCell ref="I23:J23"/>
    <mergeCell ref="G24:H24"/>
    <mergeCell ref="I24:J24"/>
    <mergeCell ref="G61:H61"/>
    <mergeCell ref="I61:J61"/>
    <mergeCell ref="G62:H62"/>
    <mergeCell ref="I62:J62"/>
    <mergeCell ref="G28:H28"/>
    <mergeCell ref="I28:J28"/>
    <mergeCell ref="G29:H29"/>
    <mergeCell ref="I29:J29"/>
    <mergeCell ref="G38:H38"/>
    <mergeCell ref="I38:J38"/>
    <mergeCell ref="G33:H33"/>
    <mergeCell ref="I33:J33"/>
    <mergeCell ref="C28:D28"/>
    <mergeCell ref="C29:D29"/>
    <mergeCell ref="G25:H25"/>
    <mergeCell ref="I25:J25"/>
    <mergeCell ref="G26:H26"/>
    <mergeCell ref="I26:J26"/>
    <mergeCell ref="C25:D25"/>
    <mergeCell ref="C26:D26"/>
    <mergeCell ref="G37:H37"/>
    <mergeCell ref="I37:J37"/>
    <mergeCell ref="C27:D27"/>
    <mergeCell ref="G27:H27"/>
    <mergeCell ref="I27:J27"/>
    <mergeCell ref="C30:D30"/>
    <mergeCell ref="E30:F38"/>
    <mergeCell ref="C31:D31"/>
    <mergeCell ref="G34:H34"/>
    <mergeCell ref="I34:J34"/>
    <mergeCell ref="G35:H35"/>
    <mergeCell ref="I35:J35"/>
    <mergeCell ref="C34:D34"/>
    <mergeCell ref="C35:D35"/>
    <mergeCell ref="G32:H32"/>
    <mergeCell ref="I32:J32"/>
    <mergeCell ref="C32:D32"/>
    <mergeCell ref="C33:D33"/>
    <mergeCell ref="G30:H30"/>
    <mergeCell ref="I30:J30"/>
    <mergeCell ref="G31:H31"/>
    <mergeCell ref="I31:J31"/>
    <mergeCell ref="C36:D36"/>
    <mergeCell ref="G36:H36"/>
    <mergeCell ref="I36:J36"/>
    <mergeCell ref="A44:B44"/>
    <mergeCell ref="A45:B45"/>
    <mergeCell ref="A10:J10"/>
    <mergeCell ref="I51:J51"/>
    <mergeCell ref="A56:H57"/>
    <mergeCell ref="I52:J53"/>
    <mergeCell ref="C37:D37"/>
    <mergeCell ref="C38:D38"/>
    <mergeCell ref="A42:B42"/>
    <mergeCell ref="A40:H40"/>
    <mergeCell ref="A43:B43"/>
    <mergeCell ref="C20:D20"/>
    <mergeCell ref="E12:F20"/>
    <mergeCell ref="A12:B20"/>
    <mergeCell ref="A21:B29"/>
    <mergeCell ref="C21:D21"/>
    <mergeCell ref="E21:F29"/>
    <mergeCell ref="C22:D22"/>
    <mergeCell ref="C23:D23"/>
    <mergeCell ref="C24:D24"/>
    <mergeCell ref="C15:D15"/>
    <mergeCell ref="C16:D16"/>
    <mergeCell ref="A30:B38"/>
    <mergeCell ref="A41:J41"/>
    <mergeCell ref="C66:D66"/>
    <mergeCell ref="G66:H66"/>
    <mergeCell ref="I66:J66"/>
    <mergeCell ref="C67:D67"/>
    <mergeCell ref="G67:H67"/>
    <mergeCell ref="I67:J67"/>
    <mergeCell ref="I74:J74"/>
    <mergeCell ref="C75:D75"/>
    <mergeCell ref="G75:H75"/>
    <mergeCell ref="I75:J75"/>
    <mergeCell ref="E71:F79"/>
    <mergeCell ref="G71:H71"/>
    <mergeCell ref="I71:J71"/>
    <mergeCell ref="C72:D72"/>
    <mergeCell ref="G72:H72"/>
    <mergeCell ref="I72:J72"/>
    <mergeCell ref="C73:D73"/>
    <mergeCell ref="G73:H73"/>
    <mergeCell ref="C79:D79"/>
    <mergeCell ref="G79:H79"/>
    <mergeCell ref="I79:J79"/>
    <mergeCell ref="C77:D77"/>
    <mergeCell ref="C68:D68"/>
    <mergeCell ref="G68:H68"/>
    <mergeCell ref="A71:B79"/>
    <mergeCell ref="C71:D71"/>
    <mergeCell ref="C84:D84"/>
    <mergeCell ref="G84:H84"/>
    <mergeCell ref="I84:J84"/>
    <mergeCell ref="C85:D85"/>
    <mergeCell ref="G85:H85"/>
    <mergeCell ref="I85:J85"/>
    <mergeCell ref="I81:J81"/>
    <mergeCell ref="C82:D82"/>
    <mergeCell ref="G82:H82"/>
    <mergeCell ref="I82:J82"/>
    <mergeCell ref="C83:D83"/>
    <mergeCell ref="G83:H83"/>
    <mergeCell ref="I83:J83"/>
    <mergeCell ref="C76:D76"/>
    <mergeCell ref="G76:H76"/>
    <mergeCell ref="I76:J76"/>
    <mergeCell ref="C78:D78"/>
    <mergeCell ref="G78:H78"/>
    <mergeCell ref="I78:J78"/>
    <mergeCell ref="I73:J73"/>
    <mergeCell ref="C74:D74"/>
    <mergeCell ref="G74:H74"/>
    <mergeCell ref="A90:H90"/>
    <mergeCell ref="A92:B92"/>
    <mergeCell ref="A93:B93"/>
    <mergeCell ref="A94:B94"/>
    <mergeCell ref="A95:B95"/>
    <mergeCell ref="C87:D87"/>
    <mergeCell ref="G87:H87"/>
    <mergeCell ref="I87:J87"/>
    <mergeCell ref="C88:D88"/>
    <mergeCell ref="G88:H88"/>
    <mergeCell ref="I88:J88"/>
    <mergeCell ref="A80:B88"/>
    <mergeCell ref="C80:D80"/>
    <mergeCell ref="E80:F88"/>
    <mergeCell ref="G80:H80"/>
    <mergeCell ref="I80:J80"/>
    <mergeCell ref="C81:D81"/>
    <mergeCell ref="G81:H81"/>
    <mergeCell ref="C86:D86"/>
    <mergeCell ref="A91:J91"/>
    <mergeCell ref="A110:J110"/>
    <mergeCell ref="A111:B111"/>
    <mergeCell ref="C111:D111"/>
    <mergeCell ref="E111:F111"/>
    <mergeCell ref="G111:H111"/>
    <mergeCell ref="I111:J111"/>
    <mergeCell ref="I101:J101"/>
    <mergeCell ref="A106:H107"/>
    <mergeCell ref="I102:J103"/>
    <mergeCell ref="A109:H109"/>
    <mergeCell ref="I109:J109"/>
    <mergeCell ref="I114:J114"/>
    <mergeCell ref="C115:D115"/>
    <mergeCell ref="G115:H115"/>
    <mergeCell ref="I115:J115"/>
    <mergeCell ref="C116:D116"/>
    <mergeCell ref="G116:H116"/>
    <mergeCell ref="I116:J116"/>
    <mergeCell ref="A112:B118"/>
    <mergeCell ref="C112:D112"/>
    <mergeCell ref="E112:F118"/>
    <mergeCell ref="G112:H112"/>
    <mergeCell ref="I112:J112"/>
    <mergeCell ref="C113:D113"/>
    <mergeCell ref="G113:H113"/>
    <mergeCell ref="I113:J113"/>
    <mergeCell ref="C114:D114"/>
    <mergeCell ref="G114:H114"/>
    <mergeCell ref="E119:F125"/>
    <mergeCell ref="G119:H119"/>
    <mergeCell ref="I119:J119"/>
    <mergeCell ref="C120:D120"/>
    <mergeCell ref="G120:H120"/>
    <mergeCell ref="C117:D117"/>
    <mergeCell ref="G117:H117"/>
    <mergeCell ref="I117:J117"/>
    <mergeCell ref="C118:D118"/>
    <mergeCell ref="G118:H118"/>
    <mergeCell ref="I118:J118"/>
    <mergeCell ref="I120:J120"/>
    <mergeCell ref="C121:D121"/>
    <mergeCell ref="G121:H121"/>
    <mergeCell ref="I121:J121"/>
    <mergeCell ref="C122:D122"/>
    <mergeCell ref="G122:H122"/>
    <mergeCell ref="I122:J122"/>
    <mergeCell ref="C125:D125"/>
    <mergeCell ref="A141:J141"/>
    <mergeCell ref="A140:H140"/>
    <mergeCell ref="A142:B142"/>
    <mergeCell ref="C131:D131"/>
    <mergeCell ref="G131:H131"/>
    <mergeCell ref="I131:J131"/>
    <mergeCell ref="C132:D132"/>
    <mergeCell ref="G132:H132"/>
    <mergeCell ref="I132:J132"/>
    <mergeCell ref="C129:D129"/>
    <mergeCell ref="G129:H129"/>
    <mergeCell ref="I129:J129"/>
    <mergeCell ref="C130:D130"/>
    <mergeCell ref="G130:H130"/>
    <mergeCell ref="I130:J130"/>
    <mergeCell ref="A126:B132"/>
    <mergeCell ref="C126:D126"/>
    <mergeCell ref="E126:F132"/>
    <mergeCell ref="G126:H126"/>
    <mergeCell ref="I126:J126"/>
    <mergeCell ref="I68:J68"/>
    <mergeCell ref="G77:H77"/>
    <mergeCell ref="I77:J77"/>
    <mergeCell ref="G86:H86"/>
    <mergeCell ref="I86:J86"/>
    <mergeCell ref="A143:B143"/>
    <mergeCell ref="A144:B144"/>
    <mergeCell ref="A145:B145"/>
    <mergeCell ref="C127:D127"/>
    <mergeCell ref="G127:H127"/>
    <mergeCell ref="I127:J127"/>
    <mergeCell ref="C128:D128"/>
    <mergeCell ref="G128:H128"/>
    <mergeCell ref="G125:H125"/>
    <mergeCell ref="I125:J125"/>
    <mergeCell ref="C123:D123"/>
    <mergeCell ref="G123:H123"/>
    <mergeCell ref="I123:J123"/>
    <mergeCell ref="C124:D124"/>
    <mergeCell ref="G124:H124"/>
    <mergeCell ref="I124:J124"/>
    <mergeCell ref="A119:B125"/>
    <mergeCell ref="C119:D119"/>
    <mergeCell ref="I128:J128"/>
  </mergeCells>
  <printOptions horizontalCentered="1"/>
  <pageMargins left="0.59055118110236227" right="0.59055118110236227" top="0.78740157480314965" bottom="0.78740157480314965" header="0.39370078740157483" footer="0.39370078740157483"/>
  <pageSetup paperSize="9" scale="93" orientation="portrait" r:id="rId1"/>
  <headerFooter>
    <oddFooter xml:space="preserve">&amp;L&amp;"Arial,Obyčejné"&amp;10   ITS097-01, © Greif-akustika, s.r.o.&amp;R&amp;"Arial,Obyčejné"&amp;10List &amp;P/&amp;N    </oddFooter>
  </headerFooter>
  <rowBreaks count="2" manualBreakCount="2">
    <brk id="50" max="9" man="1"/>
    <brk id="100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rgb="FF0070C0"/>
  </sheetPr>
  <dimension ref="A1:S2000"/>
  <sheetViews>
    <sheetView showGridLines="0" view="pageBreakPreview" zoomScale="120" zoomScaleNormal="120" zoomScaleSheetLayoutView="120" workbookViewId="0">
      <selection activeCell="I2" sqref="I2:J3"/>
    </sheetView>
  </sheetViews>
  <sheetFormatPr defaultColWidth="9" defaultRowHeight="14.25" x14ac:dyDescent="0.2"/>
  <cols>
    <col min="1" max="25" width="8.625" style="1" customWidth="1"/>
    <col min="26" max="16384" width="9" style="1"/>
  </cols>
  <sheetData>
    <row r="1" spans="1:10" ht="15" customHeight="1" thickBot="1" x14ac:dyDescent="0.25">
      <c r="I1" s="49" t="s">
        <v>2</v>
      </c>
      <c r="J1" s="49"/>
    </row>
    <row r="2" spans="1:10" ht="15" customHeight="1" x14ac:dyDescent="0.2">
      <c r="I2" s="63">
        <f>'Buňky G-GE-GH'!I2:J3</f>
        <v>0</v>
      </c>
      <c r="J2" s="64"/>
    </row>
    <row r="3" spans="1:10" ht="15" customHeight="1" thickBot="1" x14ac:dyDescent="0.25">
      <c r="I3" s="65"/>
      <c r="J3" s="66"/>
    </row>
    <row r="4" spans="1:10" ht="15" customHeight="1" x14ac:dyDescent="0.2">
      <c r="I4" s="23">
        <f>1*1.03*1.03*1.03*1.2*1.15*1.06</f>
        <v>1.5984410555999999</v>
      </c>
      <c r="J4" s="23">
        <f>1-I2</f>
        <v>1</v>
      </c>
    </row>
    <row r="5" spans="1:10" ht="15" customHeight="1" x14ac:dyDescent="0.2"/>
    <row r="6" spans="1:10" ht="15" customHeight="1" x14ac:dyDescent="0.2">
      <c r="A6" s="50" t="s">
        <v>55</v>
      </c>
      <c r="B6" s="50"/>
      <c r="C6" s="50"/>
      <c r="D6" s="50"/>
      <c r="E6" s="50"/>
      <c r="F6" s="50"/>
      <c r="G6" s="50"/>
      <c r="H6" s="50"/>
    </row>
    <row r="7" spans="1:10" ht="15" customHeight="1" x14ac:dyDescent="0.2">
      <c r="A7" s="50"/>
      <c r="B7" s="50"/>
      <c r="C7" s="50"/>
      <c r="D7" s="50"/>
      <c r="E7" s="50"/>
      <c r="F7" s="50"/>
      <c r="G7" s="50"/>
      <c r="H7" s="50"/>
    </row>
    <row r="8" spans="1:10" ht="15" customHeight="1" x14ac:dyDescent="0.2"/>
    <row r="9" spans="1:10" ht="15" customHeight="1" x14ac:dyDescent="0.25">
      <c r="A9" s="59" t="s">
        <v>56</v>
      </c>
      <c r="B9" s="59"/>
      <c r="C9" s="59"/>
      <c r="D9" s="59"/>
      <c r="E9" s="59"/>
      <c r="F9" s="59"/>
      <c r="G9" s="59"/>
      <c r="H9" s="59"/>
      <c r="I9" s="67" t="s">
        <v>59</v>
      </c>
      <c r="J9" s="67"/>
    </row>
    <row r="10" spans="1:10" ht="15" customHeight="1" x14ac:dyDescent="0.2">
      <c r="A10" s="55" t="s">
        <v>46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0" ht="15" customHeight="1" x14ac:dyDescent="0.25">
      <c r="A11" s="62" t="s">
        <v>40</v>
      </c>
      <c r="B11" s="62"/>
      <c r="C11" s="62" t="s">
        <v>41</v>
      </c>
      <c r="D11" s="62"/>
      <c r="E11" s="62" t="s">
        <v>42</v>
      </c>
      <c r="F11" s="62"/>
      <c r="G11" s="62" t="s">
        <v>175</v>
      </c>
      <c r="H11" s="62"/>
      <c r="I11" s="62" t="s">
        <v>39</v>
      </c>
      <c r="J11" s="62"/>
    </row>
    <row r="12" spans="1:10" ht="15" customHeight="1" x14ac:dyDescent="0.2">
      <c r="A12" s="71" t="s">
        <v>58</v>
      </c>
      <c r="B12" s="72"/>
      <c r="C12" s="70">
        <v>200</v>
      </c>
      <c r="D12" s="70"/>
      <c r="E12" s="79">
        <v>1000</v>
      </c>
      <c r="F12" s="72"/>
      <c r="G12" s="57">
        <f>MROUND(645*$I$4,5)</f>
        <v>1030</v>
      </c>
      <c r="H12" s="57"/>
      <c r="I12" s="58">
        <f t="shared" ref="I12:I38" si="0">ROUND(G12*$J$4,0)</f>
        <v>1030</v>
      </c>
      <c r="J12" s="58"/>
    </row>
    <row r="13" spans="1:10" ht="15" customHeight="1" x14ac:dyDescent="0.2">
      <c r="A13" s="73"/>
      <c r="B13" s="74"/>
      <c r="C13" s="70">
        <v>250</v>
      </c>
      <c r="D13" s="70"/>
      <c r="E13" s="73"/>
      <c r="F13" s="74"/>
      <c r="G13" s="57">
        <f>MROUND(700*$I$4,5)</f>
        <v>1120</v>
      </c>
      <c r="H13" s="57"/>
      <c r="I13" s="58">
        <f t="shared" si="0"/>
        <v>1120</v>
      </c>
      <c r="J13" s="58"/>
    </row>
    <row r="14" spans="1:10" ht="15" customHeight="1" x14ac:dyDescent="0.2">
      <c r="A14" s="73"/>
      <c r="B14" s="74"/>
      <c r="C14" s="70">
        <v>315</v>
      </c>
      <c r="D14" s="70"/>
      <c r="E14" s="73"/>
      <c r="F14" s="74"/>
      <c r="G14" s="57">
        <f>MROUND(800*$I$4,5)</f>
        <v>1280</v>
      </c>
      <c r="H14" s="57"/>
      <c r="I14" s="58">
        <f t="shared" si="0"/>
        <v>1280</v>
      </c>
      <c r="J14" s="58"/>
    </row>
    <row r="15" spans="1:10" ht="15" customHeight="1" x14ac:dyDescent="0.2">
      <c r="A15" s="73"/>
      <c r="B15" s="74"/>
      <c r="C15" s="70">
        <v>400</v>
      </c>
      <c r="D15" s="70"/>
      <c r="E15" s="73"/>
      <c r="F15" s="74"/>
      <c r="G15" s="57">
        <f>MROUND(910*$I$4,5)</f>
        <v>1455</v>
      </c>
      <c r="H15" s="57"/>
      <c r="I15" s="58">
        <f t="shared" si="0"/>
        <v>1455</v>
      </c>
      <c r="J15" s="58"/>
    </row>
    <row r="16" spans="1:10" ht="15" customHeight="1" x14ac:dyDescent="0.2">
      <c r="A16" s="73"/>
      <c r="B16" s="74"/>
      <c r="C16" s="70">
        <v>500</v>
      </c>
      <c r="D16" s="70"/>
      <c r="E16" s="73"/>
      <c r="F16" s="74"/>
      <c r="G16" s="57">
        <f>MROUND(1040*$I$4,5)</f>
        <v>1660</v>
      </c>
      <c r="H16" s="57"/>
      <c r="I16" s="58">
        <f t="shared" si="0"/>
        <v>1660</v>
      </c>
      <c r="J16" s="58"/>
    </row>
    <row r="17" spans="1:10" ht="15" customHeight="1" x14ac:dyDescent="0.2">
      <c r="A17" s="73"/>
      <c r="B17" s="74"/>
      <c r="C17" s="70">
        <v>630</v>
      </c>
      <c r="D17" s="70"/>
      <c r="E17" s="73"/>
      <c r="F17" s="74"/>
      <c r="G17" s="57">
        <f>MROUND(1260*$I$4,5)</f>
        <v>2015</v>
      </c>
      <c r="H17" s="57"/>
      <c r="I17" s="58">
        <f t="shared" si="0"/>
        <v>2015</v>
      </c>
      <c r="J17" s="58"/>
    </row>
    <row r="18" spans="1:10" ht="15" customHeight="1" x14ac:dyDescent="0.2">
      <c r="A18" s="73"/>
      <c r="B18" s="74"/>
      <c r="C18" s="70">
        <v>710</v>
      </c>
      <c r="D18" s="70"/>
      <c r="E18" s="73"/>
      <c r="F18" s="74"/>
      <c r="G18" s="57">
        <f>MROUND(1410*$I$4,5)</f>
        <v>2255</v>
      </c>
      <c r="H18" s="57"/>
      <c r="I18" s="58">
        <f t="shared" si="0"/>
        <v>2255</v>
      </c>
      <c r="J18" s="58"/>
    </row>
    <row r="19" spans="1:10" ht="15" customHeight="1" x14ac:dyDescent="0.2">
      <c r="A19" s="73"/>
      <c r="B19" s="74"/>
      <c r="C19" s="70">
        <v>800</v>
      </c>
      <c r="D19" s="70"/>
      <c r="E19" s="73"/>
      <c r="F19" s="74"/>
      <c r="G19" s="57">
        <f>MROUND(1525*$I$4,5)</f>
        <v>2440</v>
      </c>
      <c r="H19" s="57"/>
      <c r="I19" s="58">
        <f t="shared" si="0"/>
        <v>2440</v>
      </c>
      <c r="J19" s="58"/>
    </row>
    <row r="20" spans="1:10" ht="15" customHeight="1" x14ac:dyDescent="0.2">
      <c r="A20" s="80"/>
      <c r="B20" s="81"/>
      <c r="C20" s="70">
        <v>1000</v>
      </c>
      <c r="D20" s="70"/>
      <c r="E20" s="80"/>
      <c r="F20" s="81"/>
      <c r="G20" s="57">
        <f>MROUND(1790*$I$4,5)</f>
        <v>2860</v>
      </c>
      <c r="H20" s="57"/>
      <c r="I20" s="58">
        <f t="shared" si="0"/>
        <v>2860</v>
      </c>
      <c r="J20" s="58"/>
    </row>
    <row r="21" spans="1:10" ht="15" customHeight="1" x14ac:dyDescent="0.2">
      <c r="A21" s="71" t="s">
        <v>58</v>
      </c>
      <c r="B21" s="72"/>
      <c r="C21" s="70">
        <v>200</v>
      </c>
      <c r="D21" s="70"/>
      <c r="E21" s="79">
        <v>1500</v>
      </c>
      <c r="F21" s="72"/>
      <c r="G21" s="57">
        <f>MROUND(965*$I$4,5)</f>
        <v>1540</v>
      </c>
      <c r="H21" s="57"/>
      <c r="I21" s="58">
        <f t="shared" si="0"/>
        <v>1540</v>
      </c>
      <c r="J21" s="58"/>
    </row>
    <row r="22" spans="1:10" ht="15" customHeight="1" x14ac:dyDescent="0.2">
      <c r="A22" s="73"/>
      <c r="B22" s="74"/>
      <c r="C22" s="70">
        <v>250</v>
      </c>
      <c r="D22" s="70"/>
      <c r="E22" s="73"/>
      <c r="F22" s="74"/>
      <c r="G22" s="57">
        <f>MROUND(1050*$I$4,5)</f>
        <v>1680</v>
      </c>
      <c r="H22" s="57"/>
      <c r="I22" s="58">
        <f t="shared" si="0"/>
        <v>1680</v>
      </c>
      <c r="J22" s="58"/>
    </row>
    <row r="23" spans="1:10" ht="15" customHeight="1" x14ac:dyDescent="0.2">
      <c r="A23" s="73"/>
      <c r="B23" s="74"/>
      <c r="C23" s="70">
        <v>315</v>
      </c>
      <c r="D23" s="70"/>
      <c r="E23" s="73"/>
      <c r="F23" s="74"/>
      <c r="G23" s="57">
        <f>MROUND(1195*$I$4,5)</f>
        <v>1910</v>
      </c>
      <c r="H23" s="57"/>
      <c r="I23" s="58">
        <f t="shared" si="0"/>
        <v>1910</v>
      </c>
      <c r="J23" s="58"/>
    </row>
    <row r="24" spans="1:10" ht="15" customHeight="1" x14ac:dyDescent="0.2">
      <c r="A24" s="73"/>
      <c r="B24" s="74"/>
      <c r="C24" s="70">
        <v>400</v>
      </c>
      <c r="D24" s="70"/>
      <c r="E24" s="73"/>
      <c r="F24" s="74"/>
      <c r="G24" s="57">
        <f>MROUND(1365*$I$4,5)</f>
        <v>2180</v>
      </c>
      <c r="H24" s="57"/>
      <c r="I24" s="58">
        <f t="shared" si="0"/>
        <v>2180</v>
      </c>
      <c r="J24" s="58"/>
    </row>
    <row r="25" spans="1:10" ht="15" customHeight="1" x14ac:dyDescent="0.2">
      <c r="A25" s="73"/>
      <c r="B25" s="74"/>
      <c r="C25" s="70">
        <v>500</v>
      </c>
      <c r="D25" s="70"/>
      <c r="E25" s="73"/>
      <c r="F25" s="74"/>
      <c r="G25" s="57">
        <f>MROUND(1555*$I$4,5)</f>
        <v>2485</v>
      </c>
      <c r="H25" s="57"/>
      <c r="I25" s="58">
        <f t="shared" si="0"/>
        <v>2485</v>
      </c>
      <c r="J25" s="58"/>
    </row>
    <row r="26" spans="1:10" ht="15" customHeight="1" x14ac:dyDescent="0.2">
      <c r="A26" s="73"/>
      <c r="B26" s="74"/>
      <c r="C26" s="70">
        <v>630</v>
      </c>
      <c r="D26" s="70"/>
      <c r="E26" s="73"/>
      <c r="F26" s="74"/>
      <c r="G26" s="57">
        <f>MROUND(1890*$I$4,5)</f>
        <v>3020</v>
      </c>
      <c r="H26" s="57"/>
      <c r="I26" s="58">
        <f t="shared" si="0"/>
        <v>3020</v>
      </c>
      <c r="J26" s="58"/>
    </row>
    <row r="27" spans="1:10" ht="15" customHeight="1" x14ac:dyDescent="0.2">
      <c r="A27" s="73"/>
      <c r="B27" s="74"/>
      <c r="C27" s="70">
        <v>710</v>
      </c>
      <c r="D27" s="70"/>
      <c r="E27" s="73"/>
      <c r="F27" s="74"/>
      <c r="G27" s="57">
        <f>MROUND(2120*$I$4,5)</f>
        <v>3390</v>
      </c>
      <c r="H27" s="57"/>
      <c r="I27" s="58">
        <f t="shared" si="0"/>
        <v>3390</v>
      </c>
      <c r="J27" s="58"/>
    </row>
    <row r="28" spans="1:10" ht="15" customHeight="1" x14ac:dyDescent="0.2">
      <c r="A28" s="73"/>
      <c r="B28" s="74"/>
      <c r="C28" s="70">
        <v>800</v>
      </c>
      <c r="D28" s="70"/>
      <c r="E28" s="73"/>
      <c r="F28" s="74"/>
      <c r="G28" s="57">
        <f>MROUND(2290*$I$4,5)</f>
        <v>3660</v>
      </c>
      <c r="H28" s="57"/>
      <c r="I28" s="58">
        <f t="shared" si="0"/>
        <v>3660</v>
      </c>
      <c r="J28" s="58"/>
    </row>
    <row r="29" spans="1:10" ht="15" customHeight="1" x14ac:dyDescent="0.2">
      <c r="A29" s="80"/>
      <c r="B29" s="81"/>
      <c r="C29" s="70">
        <v>1000</v>
      </c>
      <c r="D29" s="70"/>
      <c r="E29" s="80"/>
      <c r="F29" s="81"/>
      <c r="G29" s="57">
        <f>MROUND(2680*$I$4,5)</f>
        <v>4285</v>
      </c>
      <c r="H29" s="57"/>
      <c r="I29" s="58">
        <f t="shared" si="0"/>
        <v>4285</v>
      </c>
      <c r="J29" s="58"/>
    </row>
    <row r="30" spans="1:10" ht="15" customHeight="1" x14ac:dyDescent="0.2">
      <c r="A30" s="71" t="s">
        <v>58</v>
      </c>
      <c r="B30" s="72"/>
      <c r="C30" s="70">
        <v>200</v>
      </c>
      <c r="D30" s="70"/>
      <c r="E30" s="79">
        <v>2000</v>
      </c>
      <c r="F30" s="72"/>
      <c r="G30" s="57">
        <f>MROUND(1285*$I$4,5)</f>
        <v>2055</v>
      </c>
      <c r="H30" s="57"/>
      <c r="I30" s="58">
        <f t="shared" si="0"/>
        <v>2055</v>
      </c>
      <c r="J30" s="58"/>
    </row>
    <row r="31" spans="1:10" ht="15" customHeight="1" x14ac:dyDescent="0.2">
      <c r="A31" s="73"/>
      <c r="B31" s="74"/>
      <c r="C31" s="70">
        <v>250</v>
      </c>
      <c r="D31" s="70"/>
      <c r="E31" s="73"/>
      <c r="F31" s="74"/>
      <c r="G31" s="57">
        <f>MROUND(1395*$I$4,5)</f>
        <v>2230</v>
      </c>
      <c r="H31" s="57"/>
      <c r="I31" s="58">
        <f t="shared" si="0"/>
        <v>2230</v>
      </c>
      <c r="J31" s="58"/>
    </row>
    <row r="32" spans="1:10" ht="15" customHeight="1" x14ac:dyDescent="0.2">
      <c r="A32" s="73"/>
      <c r="B32" s="74"/>
      <c r="C32" s="70">
        <v>315</v>
      </c>
      <c r="D32" s="70"/>
      <c r="E32" s="73"/>
      <c r="F32" s="74"/>
      <c r="G32" s="57">
        <f>MROUND(1595*$I$4,5)</f>
        <v>2550</v>
      </c>
      <c r="H32" s="57"/>
      <c r="I32" s="58">
        <f t="shared" si="0"/>
        <v>2550</v>
      </c>
      <c r="J32" s="58"/>
    </row>
    <row r="33" spans="1:13" ht="15" customHeight="1" x14ac:dyDescent="0.2">
      <c r="A33" s="73"/>
      <c r="B33" s="74"/>
      <c r="C33" s="70">
        <v>400</v>
      </c>
      <c r="D33" s="70"/>
      <c r="E33" s="73"/>
      <c r="F33" s="74"/>
      <c r="G33" s="57">
        <f>MROUND(1815*$I$4,5)</f>
        <v>2900</v>
      </c>
      <c r="H33" s="57"/>
      <c r="I33" s="58">
        <f t="shared" si="0"/>
        <v>2900</v>
      </c>
      <c r="J33" s="58"/>
    </row>
    <row r="34" spans="1:13" ht="15" customHeight="1" x14ac:dyDescent="0.2">
      <c r="A34" s="73"/>
      <c r="B34" s="74"/>
      <c r="C34" s="70">
        <v>500</v>
      </c>
      <c r="D34" s="70"/>
      <c r="E34" s="73"/>
      <c r="F34" s="74"/>
      <c r="G34" s="57">
        <f>MROUND(2080*$I$4,5)</f>
        <v>3325</v>
      </c>
      <c r="H34" s="57"/>
      <c r="I34" s="58">
        <f t="shared" si="0"/>
        <v>3325</v>
      </c>
      <c r="J34" s="58"/>
    </row>
    <row r="35" spans="1:13" ht="15" customHeight="1" x14ac:dyDescent="0.2">
      <c r="A35" s="73"/>
      <c r="B35" s="74"/>
      <c r="C35" s="70">
        <v>630</v>
      </c>
      <c r="D35" s="70"/>
      <c r="E35" s="73"/>
      <c r="F35" s="74"/>
      <c r="G35" s="57">
        <f>MROUND(2520*$I$4,5)</f>
        <v>4030</v>
      </c>
      <c r="H35" s="57"/>
      <c r="I35" s="58">
        <f t="shared" si="0"/>
        <v>4030</v>
      </c>
      <c r="J35" s="58"/>
    </row>
    <row r="36" spans="1:13" ht="15" customHeight="1" x14ac:dyDescent="0.2">
      <c r="A36" s="73"/>
      <c r="B36" s="74"/>
      <c r="C36" s="70">
        <v>710</v>
      </c>
      <c r="D36" s="70"/>
      <c r="E36" s="73"/>
      <c r="F36" s="74"/>
      <c r="G36" s="57">
        <f>MROUND(2790*$I$4,5)</f>
        <v>4460</v>
      </c>
      <c r="H36" s="57"/>
      <c r="I36" s="58">
        <f t="shared" si="0"/>
        <v>4460</v>
      </c>
      <c r="J36" s="58"/>
    </row>
    <row r="37" spans="1:13" ht="15" customHeight="1" x14ac:dyDescent="0.2">
      <c r="A37" s="73"/>
      <c r="B37" s="74"/>
      <c r="C37" s="70">
        <v>800</v>
      </c>
      <c r="D37" s="70"/>
      <c r="E37" s="73"/>
      <c r="F37" s="74"/>
      <c r="G37" s="57">
        <f>MROUND(3045*$I$4,5)</f>
        <v>4865</v>
      </c>
      <c r="H37" s="57"/>
      <c r="I37" s="58">
        <f t="shared" si="0"/>
        <v>4865</v>
      </c>
      <c r="J37" s="58"/>
    </row>
    <row r="38" spans="1:13" ht="15" customHeight="1" x14ac:dyDescent="0.2">
      <c r="A38" s="80"/>
      <c r="B38" s="81"/>
      <c r="C38" s="70">
        <v>1000</v>
      </c>
      <c r="D38" s="70"/>
      <c r="E38" s="80"/>
      <c r="F38" s="81"/>
      <c r="G38" s="57">
        <f>MROUND(3575*$I$4,5)</f>
        <v>5715</v>
      </c>
      <c r="H38" s="57"/>
      <c r="I38" s="58">
        <f t="shared" si="0"/>
        <v>5715</v>
      </c>
      <c r="J38" s="58"/>
    </row>
    <row r="39" spans="1:13" ht="15" customHeight="1" x14ac:dyDescent="0.2">
      <c r="A39" s="5"/>
      <c r="B39" s="5"/>
      <c r="C39" s="5"/>
      <c r="D39" s="5"/>
      <c r="E39" s="5"/>
      <c r="F39" s="5"/>
      <c r="G39" s="6"/>
      <c r="H39" s="6"/>
      <c r="I39" s="7"/>
      <c r="J39" s="7"/>
    </row>
    <row r="40" spans="1:13" ht="15" customHeight="1" x14ac:dyDescent="0.25">
      <c r="A40" s="59" t="s">
        <v>57</v>
      </c>
      <c r="B40" s="59"/>
      <c r="C40" s="59"/>
      <c r="D40" s="59"/>
      <c r="E40" s="59"/>
      <c r="F40" s="59"/>
      <c r="G40" s="59"/>
      <c r="H40" s="59"/>
      <c r="I40" s="8">
        <v>25</v>
      </c>
      <c r="J40" s="8">
        <v>100</v>
      </c>
    </row>
    <row r="41" spans="1:13" ht="15" customHeight="1" x14ac:dyDescent="0.2">
      <c r="A41" s="55" t="s">
        <v>51</v>
      </c>
      <c r="B41" s="55"/>
      <c r="C41" s="55"/>
      <c r="D41" s="55"/>
      <c r="E41" s="55"/>
      <c r="F41" s="55"/>
      <c r="G41" s="55"/>
      <c r="H41" s="55"/>
      <c r="I41" s="55"/>
      <c r="J41" s="55"/>
    </row>
    <row r="42" spans="1:13" ht="15" customHeight="1" x14ac:dyDescent="0.2">
      <c r="A42" s="77" t="s">
        <v>43</v>
      </c>
      <c r="B42" s="78"/>
      <c r="C42" s="9">
        <v>200</v>
      </c>
      <c r="D42" s="9">
        <v>250</v>
      </c>
      <c r="E42" s="9">
        <v>315</v>
      </c>
      <c r="F42" s="9">
        <v>400</v>
      </c>
      <c r="G42" s="9">
        <v>500</v>
      </c>
      <c r="H42" s="9">
        <v>630</v>
      </c>
      <c r="I42" s="9">
        <v>800</v>
      </c>
      <c r="J42" s="9">
        <v>1000</v>
      </c>
    </row>
    <row r="43" spans="1:13" ht="15" customHeight="1" x14ac:dyDescent="0.2">
      <c r="A43" s="68" t="s">
        <v>171</v>
      </c>
      <c r="B43" s="69"/>
      <c r="C43" s="10">
        <f>MROUND(190*$I$4*$J$4,5)</f>
        <v>305</v>
      </c>
      <c r="D43" s="10">
        <f>MROUND(190*$I$4*$J$4,5)</f>
        <v>305</v>
      </c>
      <c r="E43" s="10">
        <f>MROUND(200*$I$4*$J$4,5)</f>
        <v>320</v>
      </c>
      <c r="F43" s="10">
        <f>MROUND(210*$I$4*$J$4,5)</f>
        <v>335</v>
      </c>
      <c r="G43" s="10">
        <f>MROUND(215*$I$4*$J$4,5)</f>
        <v>345</v>
      </c>
      <c r="H43" s="10">
        <f>MROUND(230*$I$4*$J$4,5)</f>
        <v>370</v>
      </c>
      <c r="I43" s="10">
        <f>MROUND(245*$I$4*$J$4,5)</f>
        <v>390</v>
      </c>
      <c r="J43" s="10">
        <f>MROUND(270*$I$4*$J$4,5)</f>
        <v>430</v>
      </c>
    </row>
    <row r="44" spans="1:13" ht="15" customHeight="1" x14ac:dyDescent="0.2">
      <c r="A44" s="68" t="s">
        <v>172</v>
      </c>
      <c r="B44" s="69"/>
      <c r="C44" s="10">
        <f>MROUND(185*$I$4*$J$4,5)</f>
        <v>295</v>
      </c>
      <c r="D44" s="10">
        <f>MROUND(185*$I$4*$J$4,5)</f>
        <v>295</v>
      </c>
      <c r="E44" s="10">
        <f>MROUND(190*$I$4*$J$4,5)</f>
        <v>305</v>
      </c>
      <c r="F44" s="10">
        <f>MROUND(200*$I$4*$J$4,5)</f>
        <v>320</v>
      </c>
      <c r="G44" s="10">
        <f>MROUND(210*$I$4*$J$4,5)</f>
        <v>335</v>
      </c>
      <c r="H44" s="10">
        <f>MROUND(215*$I$4*$J$4,5)</f>
        <v>345</v>
      </c>
      <c r="I44" s="10">
        <f>MROUND(230*$I$4*$J$4,5)</f>
        <v>370</v>
      </c>
      <c r="J44" s="10">
        <f>MROUND(240*$I$4*$J$4,5)</f>
        <v>385</v>
      </c>
    </row>
    <row r="45" spans="1:13" ht="15" customHeight="1" x14ac:dyDescent="0.2">
      <c r="A45" s="68" t="s">
        <v>173</v>
      </c>
      <c r="B45" s="69"/>
      <c r="C45" s="10">
        <f>C43+C44</f>
        <v>600</v>
      </c>
      <c r="D45" s="10">
        <f t="shared" ref="D45:J45" si="1">D43+D44</f>
        <v>600</v>
      </c>
      <c r="E45" s="10">
        <f t="shared" si="1"/>
        <v>625</v>
      </c>
      <c r="F45" s="10">
        <f t="shared" si="1"/>
        <v>655</v>
      </c>
      <c r="G45" s="10">
        <f t="shared" si="1"/>
        <v>680</v>
      </c>
      <c r="H45" s="10">
        <f t="shared" si="1"/>
        <v>715</v>
      </c>
      <c r="I45" s="10">
        <f t="shared" si="1"/>
        <v>760</v>
      </c>
      <c r="J45" s="10">
        <f t="shared" si="1"/>
        <v>815</v>
      </c>
    </row>
    <row r="46" spans="1:13" ht="1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M46" s="3"/>
    </row>
    <row r="47" spans="1:13" ht="15" customHeight="1" x14ac:dyDescent="0.2">
      <c r="A47" s="3" t="s">
        <v>162</v>
      </c>
      <c r="B47" s="3"/>
      <c r="C47" s="3"/>
      <c r="D47" s="3"/>
      <c r="E47" s="3"/>
      <c r="F47" s="3"/>
      <c r="G47" s="3"/>
      <c r="H47" s="3"/>
      <c r="I47" s="3"/>
      <c r="J47" s="3"/>
      <c r="M47" s="3"/>
    </row>
    <row r="48" spans="1:13" ht="15" customHeight="1" x14ac:dyDescent="0.2">
      <c r="A48" s="3" t="s">
        <v>163</v>
      </c>
      <c r="B48" s="3"/>
      <c r="C48" s="3"/>
      <c r="D48" s="3"/>
      <c r="E48" s="3"/>
      <c r="F48" s="3"/>
      <c r="G48" s="3"/>
      <c r="H48" s="3"/>
      <c r="I48" s="3"/>
      <c r="J48" s="3"/>
      <c r="M48" s="3"/>
    </row>
    <row r="49" spans="1:13" ht="15" customHeight="1" x14ac:dyDescent="0.2">
      <c r="A49" s="3" t="s">
        <v>35</v>
      </c>
      <c r="B49" s="3"/>
      <c r="C49" s="3"/>
      <c r="D49" s="3"/>
      <c r="E49" s="3"/>
      <c r="F49" s="3"/>
      <c r="G49" s="3"/>
      <c r="H49" s="3"/>
      <c r="I49" s="3"/>
      <c r="J49" s="3"/>
      <c r="M49" s="3"/>
    </row>
    <row r="50" spans="1:13" ht="15" customHeight="1" x14ac:dyDescent="0.2">
      <c r="A50" s="4" t="s">
        <v>33</v>
      </c>
      <c r="B50" s="3"/>
      <c r="C50" s="3"/>
      <c r="D50" s="3"/>
      <c r="E50" s="3"/>
      <c r="F50" s="3"/>
      <c r="G50" s="3"/>
      <c r="H50" s="3"/>
      <c r="I50" s="3"/>
      <c r="J50" s="3"/>
      <c r="M50" s="3"/>
    </row>
    <row r="51" spans="1:13" ht="15" customHeight="1" thickBot="1" x14ac:dyDescent="0.25">
      <c r="G51" s="25"/>
      <c r="H51" s="25"/>
      <c r="I51" s="49" t="s">
        <v>2</v>
      </c>
      <c r="J51" s="49"/>
    </row>
    <row r="52" spans="1:13" ht="14.25" customHeight="1" x14ac:dyDescent="0.2">
      <c r="G52" s="25"/>
      <c r="H52" s="25"/>
      <c r="I52" s="63">
        <f>I2</f>
        <v>0</v>
      </c>
      <c r="J52" s="64"/>
    </row>
    <row r="53" spans="1:13" ht="15" thickBot="1" x14ac:dyDescent="0.25">
      <c r="I53" s="65"/>
      <c r="J53" s="66"/>
    </row>
    <row r="56" spans="1:13" ht="15" customHeight="1" x14ac:dyDescent="0.2">
      <c r="A56" s="50" t="s">
        <v>55</v>
      </c>
      <c r="B56" s="50"/>
      <c r="C56" s="50"/>
      <c r="D56" s="50"/>
      <c r="E56" s="50"/>
      <c r="F56" s="50"/>
      <c r="G56" s="50"/>
      <c r="H56" s="50"/>
    </row>
    <row r="57" spans="1:13" ht="15" customHeight="1" x14ac:dyDescent="0.2">
      <c r="A57" s="50"/>
      <c r="B57" s="50"/>
      <c r="C57" s="50"/>
      <c r="D57" s="50"/>
      <c r="E57" s="50"/>
      <c r="F57" s="50"/>
      <c r="G57" s="50"/>
      <c r="H57" s="50"/>
    </row>
    <row r="58" spans="1:13" ht="15" customHeight="1" x14ac:dyDescent="0.2">
      <c r="J58" s="23">
        <f>1-I52</f>
        <v>1</v>
      </c>
    </row>
    <row r="59" spans="1:13" ht="15" customHeight="1" x14ac:dyDescent="0.25">
      <c r="A59" s="59" t="s">
        <v>56</v>
      </c>
      <c r="B59" s="59"/>
      <c r="C59" s="59"/>
      <c r="D59" s="59"/>
      <c r="E59" s="59"/>
      <c r="F59" s="59"/>
      <c r="G59" s="59"/>
      <c r="H59" s="59"/>
      <c r="I59" s="67" t="s">
        <v>59</v>
      </c>
      <c r="J59" s="67"/>
    </row>
    <row r="60" spans="1:13" ht="15" customHeight="1" x14ac:dyDescent="0.2">
      <c r="A60" s="55" t="s">
        <v>46</v>
      </c>
      <c r="B60" s="55"/>
      <c r="C60" s="55"/>
      <c r="D60" s="55"/>
      <c r="E60" s="55"/>
      <c r="F60" s="55"/>
      <c r="G60" s="55"/>
      <c r="H60" s="55"/>
      <c r="I60" s="55"/>
      <c r="J60" s="55"/>
    </row>
    <row r="61" spans="1:13" ht="15" customHeight="1" x14ac:dyDescent="0.25">
      <c r="A61" s="62" t="s">
        <v>40</v>
      </c>
      <c r="B61" s="62"/>
      <c r="C61" s="62" t="s">
        <v>41</v>
      </c>
      <c r="D61" s="62"/>
      <c r="E61" s="62" t="s">
        <v>42</v>
      </c>
      <c r="F61" s="62"/>
      <c r="G61" s="62" t="s">
        <v>175</v>
      </c>
      <c r="H61" s="62"/>
      <c r="I61" s="62" t="s">
        <v>39</v>
      </c>
      <c r="J61" s="62"/>
    </row>
    <row r="62" spans="1:13" ht="15" customHeight="1" x14ac:dyDescent="0.2">
      <c r="A62" s="71" t="s">
        <v>62</v>
      </c>
      <c r="B62" s="72"/>
      <c r="C62" s="70">
        <v>200</v>
      </c>
      <c r="D62" s="70"/>
      <c r="E62" s="79">
        <v>1000</v>
      </c>
      <c r="F62" s="72"/>
      <c r="G62" s="57">
        <f>MROUND(855*$I$4,5)</f>
        <v>1365</v>
      </c>
      <c r="H62" s="57"/>
      <c r="I62" s="58">
        <f>ROUND(G62*$J$58,0)</f>
        <v>1365</v>
      </c>
      <c r="J62" s="58"/>
    </row>
    <row r="63" spans="1:13" ht="15" customHeight="1" x14ac:dyDescent="0.2">
      <c r="A63" s="73"/>
      <c r="B63" s="74"/>
      <c r="C63" s="70">
        <v>250</v>
      </c>
      <c r="D63" s="70"/>
      <c r="E63" s="73"/>
      <c r="F63" s="74"/>
      <c r="G63" s="57">
        <f>MROUND(925*$I$4,5)</f>
        <v>1480</v>
      </c>
      <c r="H63" s="57"/>
      <c r="I63" s="58">
        <f t="shared" ref="I63:I88" si="2">ROUND(G63*$J$58,0)</f>
        <v>1480</v>
      </c>
      <c r="J63" s="58"/>
    </row>
    <row r="64" spans="1:13" ht="15" customHeight="1" x14ac:dyDescent="0.2">
      <c r="A64" s="73"/>
      <c r="B64" s="74"/>
      <c r="C64" s="70">
        <v>315</v>
      </c>
      <c r="D64" s="70"/>
      <c r="E64" s="73"/>
      <c r="F64" s="74"/>
      <c r="G64" s="57">
        <f>MROUND(1025*$I$4,5)</f>
        <v>1640</v>
      </c>
      <c r="H64" s="57"/>
      <c r="I64" s="58">
        <f t="shared" si="2"/>
        <v>1640</v>
      </c>
      <c r="J64" s="58"/>
    </row>
    <row r="65" spans="1:10" ht="15" customHeight="1" x14ac:dyDescent="0.2">
      <c r="A65" s="73"/>
      <c r="B65" s="74"/>
      <c r="C65" s="70">
        <v>400</v>
      </c>
      <c r="D65" s="70"/>
      <c r="E65" s="73"/>
      <c r="F65" s="74"/>
      <c r="G65" s="57">
        <f>MROUND(1170*$I$4,5)</f>
        <v>1870</v>
      </c>
      <c r="H65" s="57"/>
      <c r="I65" s="58">
        <f t="shared" si="2"/>
        <v>1870</v>
      </c>
      <c r="J65" s="58"/>
    </row>
    <row r="66" spans="1:10" ht="15" customHeight="1" x14ac:dyDescent="0.2">
      <c r="A66" s="73"/>
      <c r="B66" s="74"/>
      <c r="C66" s="70">
        <v>500</v>
      </c>
      <c r="D66" s="70"/>
      <c r="E66" s="73"/>
      <c r="F66" s="74"/>
      <c r="G66" s="57">
        <f>MROUND(1320*$I$4,5)</f>
        <v>2110</v>
      </c>
      <c r="H66" s="57"/>
      <c r="I66" s="58">
        <f t="shared" si="2"/>
        <v>2110</v>
      </c>
      <c r="J66" s="58"/>
    </row>
    <row r="67" spans="1:10" ht="15" customHeight="1" x14ac:dyDescent="0.2">
      <c r="A67" s="73"/>
      <c r="B67" s="74"/>
      <c r="C67" s="70">
        <v>630</v>
      </c>
      <c r="D67" s="70"/>
      <c r="E67" s="73"/>
      <c r="F67" s="74"/>
      <c r="G67" s="57">
        <f>MROUND(1595*$I$4,5)</f>
        <v>2550</v>
      </c>
      <c r="H67" s="57"/>
      <c r="I67" s="58">
        <f t="shared" si="2"/>
        <v>2550</v>
      </c>
      <c r="J67" s="58"/>
    </row>
    <row r="68" spans="1:10" ht="15" customHeight="1" x14ac:dyDescent="0.2">
      <c r="A68" s="73"/>
      <c r="B68" s="74"/>
      <c r="C68" s="70">
        <v>710</v>
      </c>
      <c r="D68" s="70"/>
      <c r="E68" s="73"/>
      <c r="F68" s="74"/>
      <c r="G68" s="57">
        <f>MROUND(1755*$I$4,5)</f>
        <v>2805</v>
      </c>
      <c r="H68" s="57"/>
      <c r="I68" s="58">
        <f t="shared" ref="I68" si="3">ROUND(G68*$J$58,0)</f>
        <v>2805</v>
      </c>
      <c r="J68" s="58"/>
    </row>
    <row r="69" spans="1:10" ht="15" customHeight="1" x14ac:dyDescent="0.2">
      <c r="A69" s="73"/>
      <c r="B69" s="74"/>
      <c r="C69" s="70">
        <v>800</v>
      </c>
      <c r="D69" s="70"/>
      <c r="E69" s="73"/>
      <c r="F69" s="74"/>
      <c r="G69" s="57">
        <f>MROUND(1890*$I$4,5)</f>
        <v>3020</v>
      </c>
      <c r="H69" s="57"/>
      <c r="I69" s="58">
        <f t="shared" si="2"/>
        <v>3020</v>
      </c>
      <c r="J69" s="58"/>
    </row>
    <row r="70" spans="1:10" ht="15" customHeight="1" x14ac:dyDescent="0.2">
      <c r="A70" s="80"/>
      <c r="B70" s="81"/>
      <c r="C70" s="70">
        <v>1000</v>
      </c>
      <c r="D70" s="70"/>
      <c r="E70" s="80"/>
      <c r="F70" s="81"/>
      <c r="G70" s="57">
        <f>MROUND(2230*$I$4,5)</f>
        <v>3565</v>
      </c>
      <c r="H70" s="57"/>
      <c r="I70" s="58">
        <f t="shared" si="2"/>
        <v>3565</v>
      </c>
      <c r="J70" s="58"/>
    </row>
    <row r="71" spans="1:10" ht="15" customHeight="1" x14ac:dyDescent="0.2">
      <c r="A71" s="71" t="s">
        <v>62</v>
      </c>
      <c r="B71" s="72"/>
      <c r="C71" s="70">
        <v>200</v>
      </c>
      <c r="D71" s="70"/>
      <c r="E71" s="79">
        <v>1500</v>
      </c>
      <c r="F71" s="72"/>
      <c r="G71" s="57">
        <f>MROUND(1280*$I$4,5)</f>
        <v>2045</v>
      </c>
      <c r="H71" s="57"/>
      <c r="I71" s="58">
        <f t="shared" si="2"/>
        <v>2045</v>
      </c>
      <c r="J71" s="58"/>
    </row>
    <row r="72" spans="1:10" ht="15" customHeight="1" x14ac:dyDescent="0.2">
      <c r="A72" s="73"/>
      <c r="B72" s="74"/>
      <c r="C72" s="70">
        <v>250</v>
      </c>
      <c r="D72" s="70"/>
      <c r="E72" s="73"/>
      <c r="F72" s="74"/>
      <c r="G72" s="57">
        <f>MROUND(1385*$I$4,5)</f>
        <v>2215</v>
      </c>
      <c r="H72" s="57"/>
      <c r="I72" s="58">
        <f t="shared" si="2"/>
        <v>2215</v>
      </c>
      <c r="J72" s="58"/>
    </row>
    <row r="73" spans="1:10" ht="15" customHeight="1" x14ac:dyDescent="0.2">
      <c r="A73" s="73"/>
      <c r="B73" s="74"/>
      <c r="C73" s="70">
        <v>315</v>
      </c>
      <c r="D73" s="70"/>
      <c r="E73" s="73"/>
      <c r="F73" s="74"/>
      <c r="G73" s="57">
        <f>MROUND(1535*$I$4,5)</f>
        <v>2455</v>
      </c>
      <c r="H73" s="57"/>
      <c r="I73" s="58">
        <f t="shared" si="2"/>
        <v>2455</v>
      </c>
      <c r="J73" s="58"/>
    </row>
    <row r="74" spans="1:10" ht="15" customHeight="1" x14ac:dyDescent="0.2">
      <c r="A74" s="73"/>
      <c r="B74" s="74"/>
      <c r="C74" s="70">
        <v>400</v>
      </c>
      <c r="D74" s="70"/>
      <c r="E74" s="73"/>
      <c r="F74" s="74"/>
      <c r="G74" s="57">
        <f>MROUND(1760*$I$4,5)</f>
        <v>2815</v>
      </c>
      <c r="H74" s="57"/>
      <c r="I74" s="58">
        <f t="shared" si="2"/>
        <v>2815</v>
      </c>
      <c r="J74" s="58"/>
    </row>
    <row r="75" spans="1:10" ht="15" customHeight="1" x14ac:dyDescent="0.2">
      <c r="A75" s="73"/>
      <c r="B75" s="74"/>
      <c r="C75" s="70">
        <v>500</v>
      </c>
      <c r="D75" s="70"/>
      <c r="E75" s="73"/>
      <c r="F75" s="74"/>
      <c r="G75" s="57">
        <f>MROUND(1980*$I$4,5)</f>
        <v>3165</v>
      </c>
      <c r="H75" s="57"/>
      <c r="I75" s="58">
        <f t="shared" si="2"/>
        <v>3165</v>
      </c>
      <c r="J75" s="58"/>
    </row>
    <row r="76" spans="1:10" ht="15" customHeight="1" x14ac:dyDescent="0.2">
      <c r="A76" s="73"/>
      <c r="B76" s="74"/>
      <c r="C76" s="70">
        <v>630</v>
      </c>
      <c r="D76" s="70"/>
      <c r="E76" s="73"/>
      <c r="F76" s="74"/>
      <c r="G76" s="57">
        <f>MROUND(2395*$I$4,5)</f>
        <v>3830</v>
      </c>
      <c r="H76" s="57"/>
      <c r="I76" s="58">
        <f t="shared" si="2"/>
        <v>3830</v>
      </c>
      <c r="J76" s="58"/>
    </row>
    <row r="77" spans="1:10" ht="15" customHeight="1" x14ac:dyDescent="0.2">
      <c r="A77" s="73"/>
      <c r="B77" s="74"/>
      <c r="C77" s="70">
        <v>710</v>
      </c>
      <c r="D77" s="70"/>
      <c r="E77" s="73"/>
      <c r="F77" s="74"/>
      <c r="G77" s="57">
        <f>MROUND(2635*$I$4,5)</f>
        <v>4210</v>
      </c>
      <c r="H77" s="57"/>
      <c r="I77" s="58">
        <f t="shared" ref="I77" si="4">ROUND(G77*$J$58,0)</f>
        <v>4210</v>
      </c>
      <c r="J77" s="58"/>
    </row>
    <row r="78" spans="1:10" ht="15" customHeight="1" x14ac:dyDescent="0.2">
      <c r="A78" s="73"/>
      <c r="B78" s="74"/>
      <c r="C78" s="70">
        <v>800</v>
      </c>
      <c r="D78" s="70"/>
      <c r="E78" s="73"/>
      <c r="F78" s="74"/>
      <c r="G78" s="57">
        <f>MROUND(2840*$I$4,5)</f>
        <v>4540</v>
      </c>
      <c r="H78" s="57"/>
      <c r="I78" s="58">
        <f t="shared" si="2"/>
        <v>4540</v>
      </c>
      <c r="J78" s="58"/>
    </row>
    <row r="79" spans="1:10" ht="15" customHeight="1" x14ac:dyDescent="0.2">
      <c r="A79" s="80"/>
      <c r="B79" s="81"/>
      <c r="C79" s="70">
        <v>1000</v>
      </c>
      <c r="D79" s="70"/>
      <c r="E79" s="80"/>
      <c r="F79" s="81"/>
      <c r="G79" s="57">
        <f>MROUND(3340*$I$4,5)</f>
        <v>5340</v>
      </c>
      <c r="H79" s="57"/>
      <c r="I79" s="58">
        <f t="shared" si="2"/>
        <v>5340</v>
      </c>
      <c r="J79" s="58"/>
    </row>
    <row r="80" spans="1:10" ht="15" customHeight="1" x14ac:dyDescent="0.2">
      <c r="A80" s="71" t="s">
        <v>62</v>
      </c>
      <c r="B80" s="72"/>
      <c r="C80" s="70">
        <v>200</v>
      </c>
      <c r="D80" s="70"/>
      <c r="E80" s="79">
        <v>2000</v>
      </c>
      <c r="F80" s="72"/>
      <c r="G80" s="57">
        <f>MROUND(1705*$I$4,5)</f>
        <v>2725</v>
      </c>
      <c r="H80" s="57"/>
      <c r="I80" s="58">
        <f t="shared" si="2"/>
        <v>2725</v>
      </c>
      <c r="J80" s="58"/>
    </row>
    <row r="81" spans="1:19" ht="15" customHeight="1" x14ac:dyDescent="0.2">
      <c r="A81" s="73"/>
      <c r="B81" s="74"/>
      <c r="C81" s="70">
        <v>250</v>
      </c>
      <c r="D81" s="70"/>
      <c r="E81" s="73"/>
      <c r="F81" s="74"/>
      <c r="G81" s="57">
        <f>MROUND(1850*$I$4,5)</f>
        <v>2955</v>
      </c>
      <c r="H81" s="57"/>
      <c r="I81" s="58">
        <f t="shared" si="2"/>
        <v>2955</v>
      </c>
      <c r="J81" s="58"/>
    </row>
    <row r="82" spans="1:19" ht="15" customHeight="1" x14ac:dyDescent="0.2">
      <c r="A82" s="73"/>
      <c r="B82" s="74"/>
      <c r="C82" s="70">
        <v>315</v>
      </c>
      <c r="D82" s="70"/>
      <c r="E82" s="73"/>
      <c r="F82" s="74"/>
      <c r="G82" s="57">
        <f>MROUND(2045*$I$4,5)</f>
        <v>3270</v>
      </c>
      <c r="H82" s="57"/>
      <c r="I82" s="58">
        <f t="shared" si="2"/>
        <v>3270</v>
      </c>
      <c r="J82" s="58"/>
    </row>
    <row r="83" spans="1:19" ht="15" customHeight="1" x14ac:dyDescent="0.2">
      <c r="A83" s="73"/>
      <c r="B83" s="74"/>
      <c r="C83" s="70">
        <v>400</v>
      </c>
      <c r="D83" s="70"/>
      <c r="E83" s="73"/>
      <c r="F83" s="74"/>
      <c r="G83" s="57">
        <f>MROUND(2345*$I$4,5)</f>
        <v>3750</v>
      </c>
      <c r="H83" s="57"/>
      <c r="I83" s="58">
        <f t="shared" si="2"/>
        <v>3750</v>
      </c>
      <c r="J83" s="58"/>
    </row>
    <row r="84" spans="1:19" ht="15" customHeight="1" x14ac:dyDescent="0.2">
      <c r="A84" s="73"/>
      <c r="B84" s="74"/>
      <c r="C84" s="70">
        <v>500</v>
      </c>
      <c r="D84" s="70"/>
      <c r="E84" s="73"/>
      <c r="F84" s="74"/>
      <c r="G84" s="57">
        <f>MROUND(2640*$I$4,5)</f>
        <v>4220</v>
      </c>
      <c r="H84" s="57"/>
      <c r="I84" s="58">
        <f t="shared" si="2"/>
        <v>4220</v>
      </c>
      <c r="J84" s="58"/>
    </row>
    <row r="85" spans="1:19" ht="15" customHeight="1" x14ac:dyDescent="0.2">
      <c r="A85" s="73"/>
      <c r="B85" s="74"/>
      <c r="C85" s="70">
        <v>630</v>
      </c>
      <c r="D85" s="70"/>
      <c r="E85" s="73"/>
      <c r="F85" s="74"/>
      <c r="G85" s="57">
        <f>MROUND(3190*$I$4,5)</f>
        <v>5100</v>
      </c>
      <c r="H85" s="57"/>
      <c r="I85" s="58">
        <f t="shared" si="2"/>
        <v>5100</v>
      </c>
      <c r="J85" s="58"/>
    </row>
    <row r="86" spans="1:19" ht="15" customHeight="1" x14ac:dyDescent="0.2">
      <c r="A86" s="73"/>
      <c r="B86" s="74"/>
      <c r="C86" s="70">
        <v>710</v>
      </c>
      <c r="D86" s="70"/>
      <c r="E86" s="73"/>
      <c r="F86" s="74"/>
      <c r="G86" s="57">
        <f>MROUND(3515*$I$4,5)</f>
        <v>5620</v>
      </c>
      <c r="H86" s="57"/>
      <c r="I86" s="58">
        <f t="shared" ref="I86" si="5">ROUND(G86*$J$58,0)</f>
        <v>5620</v>
      </c>
      <c r="J86" s="58"/>
    </row>
    <row r="87" spans="1:19" ht="15" customHeight="1" x14ac:dyDescent="0.2">
      <c r="A87" s="73"/>
      <c r="B87" s="74"/>
      <c r="C87" s="70">
        <v>800</v>
      </c>
      <c r="D87" s="70"/>
      <c r="E87" s="73"/>
      <c r="F87" s="74"/>
      <c r="G87" s="57">
        <f>MROUND(3785*$I$4,5)</f>
        <v>6050</v>
      </c>
      <c r="H87" s="57"/>
      <c r="I87" s="58">
        <f t="shared" si="2"/>
        <v>6050</v>
      </c>
      <c r="J87" s="58"/>
    </row>
    <row r="88" spans="1:19" ht="15" customHeight="1" x14ac:dyDescent="0.2">
      <c r="A88" s="80"/>
      <c r="B88" s="81"/>
      <c r="C88" s="70">
        <v>1000</v>
      </c>
      <c r="D88" s="70"/>
      <c r="E88" s="80"/>
      <c r="F88" s="81"/>
      <c r="G88" s="57">
        <f>MROUND(4455*$I$4,5)</f>
        <v>7120</v>
      </c>
      <c r="H88" s="57"/>
      <c r="I88" s="58">
        <f t="shared" si="2"/>
        <v>7120</v>
      </c>
      <c r="J88" s="58"/>
    </row>
    <row r="89" spans="1:19" ht="15" customHeight="1" x14ac:dyDescent="0.2">
      <c r="A89" s="5"/>
      <c r="B89" s="5"/>
      <c r="C89" s="5"/>
      <c r="D89" s="5"/>
      <c r="E89" s="5"/>
      <c r="F89" s="5"/>
      <c r="G89" s="6"/>
      <c r="H89" s="6"/>
      <c r="I89" s="7"/>
      <c r="J89" s="7"/>
    </row>
    <row r="90" spans="1:19" ht="15" customHeight="1" x14ac:dyDescent="0.25">
      <c r="A90" s="59" t="s">
        <v>61</v>
      </c>
      <c r="B90" s="59"/>
      <c r="C90" s="59"/>
      <c r="D90" s="59"/>
      <c r="E90" s="59"/>
      <c r="F90" s="59"/>
      <c r="G90" s="59"/>
      <c r="H90" s="59"/>
      <c r="I90" s="8">
        <v>25</v>
      </c>
      <c r="J90" s="8">
        <v>100</v>
      </c>
    </row>
    <row r="91" spans="1:19" ht="15" customHeight="1" x14ac:dyDescent="0.2">
      <c r="A91" s="55" t="s">
        <v>51</v>
      </c>
      <c r="B91" s="55"/>
      <c r="C91" s="55"/>
      <c r="D91" s="55"/>
      <c r="E91" s="55"/>
      <c r="F91" s="55"/>
      <c r="G91" s="55"/>
      <c r="H91" s="55"/>
      <c r="I91" s="55"/>
      <c r="J91" s="55"/>
    </row>
    <row r="92" spans="1:19" ht="15" customHeight="1" x14ac:dyDescent="0.2">
      <c r="A92" s="77" t="s">
        <v>43</v>
      </c>
      <c r="B92" s="78"/>
      <c r="C92" s="9">
        <v>200</v>
      </c>
      <c r="D92" s="9">
        <v>250</v>
      </c>
      <c r="E92" s="9">
        <v>315</v>
      </c>
      <c r="F92" s="9">
        <v>400</v>
      </c>
      <c r="G92" s="9">
        <v>500</v>
      </c>
      <c r="H92" s="9">
        <v>630</v>
      </c>
      <c r="I92" s="9">
        <v>800</v>
      </c>
      <c r="J92" s="9">
        <v>1000</v>
      </c>
    </row>
    <row r="93" spans="1:19" ht="15" customHeight="1" x14ac:dyDescent="0.2">
      <c r="A93" s="68" t="s">
        <v>171</v>
      </c>
      <c r="B93" s="69"/>
      <c r="C93" s="10">
        <f>MROUND(210*$I$4*$J$58,5)</f>
        <v>335</v>
      </c>
      <c r="D93" s="10">
        <f>MROUND(215*$I$4*$J$58,5)</f>
        <v>345</v>
      </c>
      <c r="E93" s="10">
        <f>MROUND(225*$I$4*$J$58,5)</f>
        <v>360</v>
      </c>
      <c r="F93" s="10">
        <f>MROUND(240*$I$4*$J$58,5)</f>
        <v>385</v>
      </c>
      <c r="G93" s="10">
        <f>MROUND(260*$I$4*$J$58,5)</f>
        <v>415</v>
      </c>
      <c r="H93" s="10">
        <f>MROUND(285*$I$4*$J$58,5)</f>
        <v>455</v>
      </c>
      <c r="I93" s="10">
        <f>MROUND(315*$I$4*$J$58,5)</f>
        <v>505</v>
      </c>
      <c r="J93" s="10">
        <f>MROUND(345*$I$4*$J$58,5)</f>
        <v>550</v>
      </c>
      <c r="L93" s="22"/>
      <c r="M93" s="22"/>
      <c r="N93" s="22"/>
      <c r="O93" s="22"/>
      <c r="P93" s="22"/>
      <c r="Q93" s="22"/>
      <c r="R93" s="22"/>
      <c r="S93" s="22"/>
    </row>
    <row r="94" spans="1:19" ht="15" customHeight="1" x14ac:dyDescent="0.2">
      <c r="A94" s="68" t="s">
        <v>172</v>
      </c>
      <c r="B94" s="69"/>
      <c r="C94" s="10">
        <f>MROUND(190*$I$4*$J$58,5)</f>
        <v>305</v>
      </c>
      <c r="D94" s="10">
        <f>MROUND(200*$I$4*$J$58,5)</f>
        <v>320</v>
      </c>
      <c r="E94" s="10">
        <f>MROUND(210*$I$4*$J$58,5)</f>
        <v>335</v>
      </c>
      <c r="F94" s="10">
        <f>MROUND(225*$I$4*$J$58,5)</f>
        <v>360</v>
      </c>
      <c r="G94" s="10">
        <f>MROUND(240*$I$4*$J$58,5)</f>
        <v>385</v>
      </c>
      <c r="H94" s="10">
        <f>MROUND(255*$I$4*$J$58,5)</f>
        <v>410</v>
      </c>
      <c r="I94" s="10">
        <f>MROUND(280*$I$4*$J$58,5)</f>
        <v>450</v>
      </c>
      <c r="J94" s="10">
        <f>MROUND(300*$I$4*$J$58,5)</f>
        <v>480</v>
      </c>
      <c r="L94" s="22"/>
      <c r="M94" s="22"/>
      <c r="N94" s="22"/>
      <c r="O94" s="22"/>
      <c r="P94" s="22"/>
      <c r="Q94" s="22"/>
      <c r="R94" s="22"/>
      <c r="S94" s="22"/>
    </row>
    <row r="95" spans="1:19" ht="15" customHeight="1" x14ac:dyDescent="0.2">
      <c r="A95" s="68" t="s">
        <v>173</v>
      </c>
      <c r="B95" s="69"/>
      <c r="C95" s="10">
        <f>C93+C94</f>
        <v>640</v>
      </c>
      <c r="D95" s="10">
        <f t="shared" ref="D95:J95" si="6">D93+D94</f>
        <v>665</v>
      </c>
      <c r="E95" s="10">
        <f t="shared" si="6"/>
        <v>695</v>
      </c>
      <c r="F95" s="10">
        <f t="shared" si="6"/>
        <v>745</v>
      </c>
      <c r="G95" s="10">
        <f t="shared" si="6"/>
        <v>800</v>
      </c>
      <c r="H95" s="10">
        <f t="shared" si="6"/>
        <v>865</v>
      </c>
      <c r="I95" s="10">
        <f t="shared" si="6"/>
        <v>955</v>
      </c>
      <c r="J95" s="10">
        <f t="shared" si="6"/>
        <v>1030</v>
      </c>
    </row>
    <row r="96" spans="1:19" ht="1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ht="15" customHeight="1" x14ac:dyDescent="0.2">
      <c r="A97" s="3" t="s">
        <v>162</v>
      </c>
      <c r="B97" s="3"/>
      <c r="C97" s="3"/>
      <c r="D97" s="3"/>
      <c r="E97" s="3"/>
      <c r="F97" s="3"/>
      <c r="G97" s="3"/>
      <c r="H97" s="3"/>
      <c r="I97" s="3"/>
      <c r="J97" s="3"/>
    </row>
    <row r="98" spans="1:10" ht="15" customHeight="1" x14ac:dyDescent="0.2">
      <c r="A98" s="3" t="s">
        <v>163</v>
      </c>
      <c r="B98" s="3"/>
      <c r="C98" s="3"/>
      <c r="D98" s="3"/>
      <c r="E98" s="3"/>
      <c r="F98" s="3"/>
      <c r="G98" s="3"/>
      <c r="H98" s="3"/>
      <c r="I98" s="3"/>
      <c r="J98" s="3"/>
    </row>
    <row r="99" spans="1:10" ht="15" customHeight="1" x14ac:dyDescent="0.2">
      <c r="A99" s="3" t="s">
        <v>35</v>
      </c>
      <c r="B99" s="3"/>
      <c r="C99" s="3"/>
      <c r="D99" s="3"/>
      <c r="E99" s="3"/>
      <c r="F99" s="3"/>
      <c r="G99" s="3"/>
      <c r="H99" s="3"/>
      <c r="I99" s="3"/>
      <c r="J99" s="3"/>
    </row>
    <row r="100" spans="1:10" ht="15" customHeight="1" x14ac:dyDescent="0.2">
      <c r="A100" s="4" t="s">
        <v>33</v>
      </c>
      <c r="B100" s="3"/>
      <c r="C100" s="3"/>
      <c r="D100" s="3"/>
      <c r="E100" s="3"/>
      <c r="F100" s="3"/>
      <c r="G100" s="3"/>
      <c r="H100" s="3"/>
      <c r="I100" s="3"/>
      <c r="J100" s="3"/>
    </row>
    <row r="101" spans="1:10" ht="15" customHeight="1" thickBot="1" x14ac:dyDescent="0.25">
      <c r="G101" s="25"/>
      <c r="H101" s="25"/>
      <c r="I101" s="49" t="s">
        <v>2</v>
      </c>
      <c r="J101" s="49"/>
    </row>
    <row r="102" spans="1:10" ht="15" customHeight="1" x14ac:dyDescent="0.2">
      <c r="G102" s="25"/>
      <c r="H102" s="25"/>
      <c r="I102" s="63">
        <f>I2</f>
        <v>0</v>
      </c>
      <c r="J102" s="64"/>
    </row>
    <row r="103" spans="1:10" ht="15" customHeight="1" thickBot="1" x14ac:dyDescent="0.25">
      <c r="I103" s="65"/>
      <c r="J103" s="66"/>
    </row>
    <row r="104" spans="1:10" ht="15" customHeight="1" x14ac:dyDescent="0.2"/>
    <row r="105" spans="1:10" ht="15" customHeight="1" x14ac:dyDescent="0.2"/>
    <row r="106" spans="1:10" ht="15" customHeight="1" x14ac:dyDescent="0.2">
      <c r="A106" s="50" t="s">
        <v>55</v>
      </c>
      <c r="B106" s="50"/>
      <c r="C106" s="50"/>
      <c r="D106" s="50"/>
      <c r="E106" s="50"/>
      <c r="F106" s="50"/>
      <c r="G106" s="50"/>
      <c r="H106" s="50"/>
    </row>
    <row r="107" spans="1:10" ht="15" customHeight="1" x14ac:dyDescent="0.2">
      <c r="A107" s="50"/>
      <c r="B107" s="50"/>
      <c r="C107" s="50"/>
      <c r="D107" s="50"/>
      <c r="E107" s="50"/>
      <c r="F107" s="50"/>
      <c r="G107" s="50"/>
      <c r="H107" s="50"/>
    </row>
    <row r="108" spans="1:10" ht="15" customHeight="1" x14ac:dyDescent="0.2">
      <c r="J108" s="23">
        <f>1-I102</f>
        <v>1</v>
      </c>
    </row>
    <row r="109" spans="1:10" ht="15" customHeight="1" x14ac:dyDescent="0.25">
      <c r="A109" s="59" t="s">
        <v>56</v>
      </c>
      <c r="B109" s="59"/>
      <c r="C109" s="59"/>
      <c r="D109" s="59"/>
      <c r="E109" s="59"/>
      <c r="F109" s="59"/>
      <c r="G109" s="59"/>
      <c r="H109" s="59"/>
      <c r="I109" s="67" t="s">
        <v>59</v>
      </c>
      <c r="J109" s="67"/>
    </row>
    <row r="110" spans="1:10" ht="15" customHeight="1" x14ac:dyDescent="0.2">
      <c r="A110" s="55" t="s">
        <v>46</v>
      </c>
      <c r="B110" s="55"/>
      <c r="C110" s="55"/>
      <c r="D110" s="55"/>
      <c r="E110" s="55"/>
      <c r="F110" s="55"/>
      <c r="G110" s="55"/>
      <c r="H110" s="55"/>
      <c r="I110" s="55"/>
      <c r="J110" s="55"/>
    </row>
    <row r="111" spans="1:10" ht="15" customHeight="1" x14ac:dyDescent="0.25">
      <c r="A111" s="62" t="s">
        <v>40</v>
      </c>
      <c r="B111" s="62"/>
      <c r="C111" s="62" t="s">
        <v>41</v>
      </c>
      <c r="D111" s="62"/>
      <c r="E111" s="62" t="s">
        <v>42</v>
      </c>
      <c r="F111" s="62"/>
      <c r="G111" s="62" t="s">
        <v>175</v>
      </c>
      <c r="H111" s="62"/>
      <c r="I111" s="62" t="s">
        <v>39</v>
      </c>
      <c r="J111" s="62"/>
    </row>
    <row r="112" spans="1:10" ht="15" customHeight="1" x14ac:dyDescent="0.2">
      <c r="A112" s="71" t="s">
        <v>164</v>
      </c>
      <c r="B112" s="72"/>
      <c r="C112" s="70">
        <v>315</v>
      </c>
      <c r="D112" s="70"/>
      <c r="E112" s="73">
        <v>1000</v>
      </c>
      <c r="F112" s="74"/>
      <c r="G112" s="57">
        <f>MROUND(1240*$I$4,5)</f>
        <v>1980</v>
      </c>
      <c r="H112" s="57"/>
      <c r="I112" s="58">
        <f t="shared" ref="I112:I132" si="7">ROUND(G112*$J$108,0)</f>
        <v>1980</v>
      </c>
      <c r="J112" s="58"/>
    </row>
    <row r="113" spans="1:10" ht="15" customHeight="1" x14ac:dyDescent="0.2">
      <c r="A113" s="73"/>
      <c r="B113" s="74"/>
      <c r="C113" s="70">
        <v>400</v>
      </c>
      <c r="D113" s="70"/>
      <c r="E113" s="73"/>
      <c r="F113" s="74"/>
      <c r="G113" s="57">
        <f>MROUND(1395*$I$4,5)</f>
        <v>2230</v>
      </c>
      <c r="H113" s="57"/>
      <c r="I113" s="58">
        <f t="shared" si="7"/>
        <v>2230</v>
      </c>
      <c r="J113" s="58"/>
    </row>
    <row r="114" spans="1:10" ht="15" customHeight="1" x14ac:dyDescent="0.2">
      <c r="A114" s="73"/>
      <c r="B114" s="74"/>
      <c r="C114" s="70">
        <v>500</v>
      </c>
      <c r="D114" s="70"/>
      <c r="E114" s="73"/>
      <c r="F114" s="74"/>
      <c r="G114" s="57">
        <f>MROUND(1600*$I$4,5)</f>
        <v>2560</v>
      </c>
      <c r="H114" s="57"/>
      <c r="I114" s="58">
        <f t="shared" si="7"/>
        <v>2560</v>
      </c>
      <c r="J114" s="58"/>
    </row>
    <row r="115" spans="1:10" ht="15" customHeight="1" x14ac:dyDescent="0.2">
      <c r="A115" s="73"/>
      <c r="B115" s="74"/>
      <c r="C115" s="70">
        <v>630</v>
      </c>
      <c r="D115" s="70"/>
      <c r="E115" s="73"/>
      <c r="F115" s="74"/>
      <c r="G115" s="57">
        <f>MROUND(1865*$I$4,5)</f>
        <v>2980</v>
      </c>
      <c r="H115" s="57"/>
      <c r="I115" s="58">
        <f t="shared" si="7"/>
        <v>2980</v>
      </c>
      <c r="J115" s="58"/>
    </row>
    <row r="116" spans="1:10" ht="15" customHeight="1" x14ac:dyDescent="0.2">
      <c r="A116" s="73"/>
      <c r="B116" s="74"/>
      <c r="C116" s="70">
        <v>710</v>
      </c>
      <c r="D116" s="70"/>
      <c r="E116" s="73"/>
      <c r="F116" s="74"/>
      <c r="G116" s="57">
        <f>MROUND(2075*$I$4,5)</f>
        <v>3315</v>
      </c>
      <c r="H116" s="57"/>
      <c r="I116" s="58">
        <f t="shared" ref="I116" si="8">ROUND(G116*$J$108,0)</f>
        <v>3315</v>
      </c>
      <c r="J116" s="58"/>
    </row>
    <row r="117" spans="1:10" ht="15" customHeight="1" x14ac:dyDescent="0.2">
      <c r="A117" s="73"/>
      <c r="B117" s="74"/>
      <c r="C117" s="70">
        <v>800</v>
      </c>
      <c r="D117" s="70"/>
      <c r="E117" s="73"/>
      <c r="F117" s="74"/>
      <c r="G117" s="57">
        <f>MROUND(2235*$I$4,5)</f>
        <v>3575</v>
      </c>
      <c r="H117" s="57"/>
      <c r="I117" s="58">
        <f t="shared" si="7"/>
        <v>3575</v>
      </c>
      <c r="J117" s="58"/>
    </row>
    <row r="118" spans="1:10" ht="15" customHeight="1" x14ac:dyDescent="0.2">
      <c r="A118" s="73"/>
      <c r="B118" s="74"/>
      <c r="C118" s="70">
        <v>1000</v>
      </c>
      <c r="D118" s="70"/>
      <c r="E118" s="80"/>
      <c r="F118" s="81"/>
      <c r="G118" s="57">
        <f>MROUND(2625*$I$4,5)</f>
        <v>4195</v>
      </c>
      <c r="H118" s="57"/>
      <c r="I118" s="58">
        <f t="shared" si="7"/>
        <v>4195</v>
      </c>
      <c r="J118" s="58"/>
    </row>
    <row r="119" spans="1:10" ht="15" customHeight="1" x14ac:dyDescent="0.2">
      <c r="A119" s="71" t="s">
        <v>164</v>
      </c>
      <c r="B119" s="72"/>
      <c r="C119" s="70">
        <v>315</v>
      </c>
      <c r="D119" s="70"/>
      <c r="E119" s="73">
        <v>1500</v>
      </c>
      <c r="F119" s="74"/>
      <c r="G119" s="57">
        <f>MROUND(1860*$I$4,5)</f>
        <v>2975</v>
      </c>
      <c r="H119" s="57"/>
      <c r="I119" s="58">
        <f t="shared" si="7"/>
        <v>2975</v>
      </c>
      <c r="J119" s="58"/>
    </row>
    <row r="120" spans="1:10" ht="15" customHeight="1" x14ac:dyDescent="0.2">
      <c r="A120" s="73"/>
      <c r="B120" s="74"/>
      <c r="C120" s="70">
        <v>400</v>
      </c>
      <c r="D120" s="70"/>
      <c r="E120" s="73"/>
      <c r="F120" s="74"/>
      <c r="G120" s="57">
        <f>MROUND(2095*$I$4,5)</f>
        <v>3350</v>
      </c>
      <c r="H120" s="57"/>
      <c r="I120" s="58">
        <f t="shared" si="7"/>
        <v>3350</v>
      </c>
      <c r="J120" s="58"/>
    </row>
    <row r="121" spans="1:10" ht="15" customHeight="1" x14ac:dyDescent="0.2">
      <c r="A121" s="73"/>
      <c r="B121" s="74"/>
      <c r="C121" s="70">
        <v>500</v>
      </c>
      <c r="D121" s="70"/>
      <c r="E121" s="73"/>
      <c r="F121" s="74"/>
      <c r="G121" s="57">
        <f>MROUND(2405*$I$4,5)</f>
        <v>3845</v>
      </c>
      <c r="H121" s="57"/>
      <c r="I121" s="58">
        <f t="shared" si="7"/>
        <v>3845</v>
      </c>
      <c r="J121" s="58"/>
    </row>
    <row r="122" spans="1:10" ht="15" customHeight="1" x14ac:dyDescent="0.2">
      <c r="A122" s="73"/>
      <c r="B122" s="74"/>
      <c r="C122" s="70">
        <v>630</v>
      </c>
      <c r="D122" s="70"/>
      <c r="E122" s="73"/>
      <c r="F122" s="74"/>
      <c r="G122" s="57">
        <f>MROUND(2800*$I$4,5)</f>
        <v>4475</v>
      </c>
      <c r="H122" s="57"/>
      <c r="I122" s="58">
        <f t="shared" si="7"/>
        <v>4475</v>
      </c>
      <c r="J122" s="58"/>
    </row>
    <row r="123" spans="1:10" ht="15" customHeight="1" x14ac:dyDescent="0.2">
      <c r="A123" s="73"/>
      <c r="B123" s="74"/>
      <c r="C123" s="70">
        <v>710</v>
      </c>
      <c r="D123" s="70"/>
      <c r="E123" s="73"/>
      <c r="F123" s="74"/>
      <c r="G123" s="57">
        <f>MROUND(3095*$I$4,5)</f>
        <v>4945</v>
      </c>
      <c r="H123" s="57"/>
      <c r="I123" s="58">
        <f t="shared" ref="I123" si="9">ROUND(G123*$J$108,0)</f>
        <v>4945</v>
      </c>
      <c r="J123" s="58"/>
    </row>
    <row r="124" spans="1:10" ht="15" customHeight="1" x14ac:dyDescent="0.2">
      <c r="A124" s="73"/>
      <c r="B124" s="74"/>
      <c r="C124" s="70">
        <v>800</v>
      </c>
      <c r="D124" s="70"/>
      <c r="E124" s="73"/>
      <c r="F124" s="74"/>
      <c r="G124" s="57">
        <f>MROUND(3350*$I$4,5)</f>
        <v>5355</v>
      </c>
      <c r="H124" s="57"/>
      <c r="I124" s="58">
        <f t="shared" si="7"/>
        <v>5355</v>
      </c>
      <c r="J124" s="58"/>
    </row>
    <row r="125" spans="1:10" ht="15" customHeight="1" x14ac:dyDescent="0.2">
      <c r="A125" s="73"/>
      <c r="B125" s="74"/>
      <c r="C125" s="70">
        <v>1000</v>
      </c>
      <c r="D125" s="70"/>
      <c r="E125" s="80"/>
      <c r="F125" s="81"/>
      <c r="G125" s="57">
        <f>MROUND(3940*$I$4,5)</f>
        <v>6300</v>
      </c>
      <c r="H125" s="57"/>
      <c r="I125" s="58">
        <f t="shared" si="7"/>
        <v>6300</v>
      </c>
      <c r="J125" s="58"/>
    </row>
    <row r="126" spans="1:10" ht="15" customHeight="1" x14ac:dyDescent="0.2">
      <c r="A126" s="75" t="s">
        <v>164</v>
      </c>
      <c r="B126" s="76"/>
      <c r="C126" s="70">
        <v>315</v>
      </c>
      <c r="D126" s="70"/>
      <c r="E126" s="73">
        <v>2000</v>
      </c>
      <c r="F126" s="74"/>
      <c r="G126" s="57">
        <f>MROUND(2475*$I$4,5)</f>
        <v>3955</v>
      </c>
      <c r="H126" s="57"/>
      <c r="I126" s="58">
        <f t="shared" si="7"/>
        <v>3955</v>
      </c>
      <c r="J126" s="58"/>
    </row>
    <row r="127" spans="1:10" ht="15" customHeight="1" x14ac:dyDescent="0.2">
      <c r="A127" s="76"/>
      <c r="B127" s="76"/>
      <c r="C127" s="70">
        <v>400</v>
      </c>
      <c r="D127" s="70"/>
      <c r="E127" s="73"/>
      <c r="F127" s="74"/>
      <c r="G127" s="57">
        <f>MROUND(2795*$I$4,5)</f>
        <v>4470</v>
      </c>
      <c r="H127" s="57"/>
      <c r="I127" s="58">
        <f t="shared" si="7"/>
        <v>4470</v>
      </c>
      <c r="J127" s="58"/>
    </row>
    <row r="128" spans="1:10" ht="15" customHeight="1" x14ac:dyDescent="0.2">
      <c r="A128" s="76"/>
      <c r="B128" s="76"/>
      <c r="C128" s="70">
        <v>500</v>
      </c>
      <c r="D128" s="70"/>
      <c r="E128" s="73"/>
      <c r="F128" s="74"/>
      <c r="G128" s="57">
        <f>MROUND(3200*$I$4,5)</f>
        <v>5115</v>
      </c>
      <c r="H128" s="57"/>
      <c r="I128" s="58">
        <f t="shared" si="7"/>
        <v>5115</v>
      </c>
      <c r="J128" s="58"/>
    </row>
    <row r="129" spans="1:19" ht="15" customHeight="1" x14ac:dyDescent="0.2">
      <c r="A129" s="76"/>
      <c r="B129" s="76"/>
      <c r="C129" s="70">
        <v>630</v>
      </c>
      <c r="D129" s="70"/>
      <c r="E129" s="73"/>
      <c r="F129" s="74"/>
      <c r="G129" s="57">
        <f>MROUND(3730*$I$4,5)</f>
        <v>5960</v>
      </c>
      <c r="H129" s="57"/>
      <c r="I129" s="58">
        <f t="shared" si="7"/>
        <v>5960</v>
      </c>
      <c r="J129" s="58"/>
    </row>
    <row r="130" spans="1:19" ht="15" customHeight="1" x14ac:dyDescent="0.2">
      <c r="A130" s="76"/>
      <c r="B130" s="76"/>
      <c r="C130" s="70">
        <v>710</v>
      </c>
      <c r="D130" s="70"/>
      <c r="E130" s="73"/>
      <c r="F130" s="74"/>
      <c r="G130" s="57">
        <f>MROUND(4165*$I$4,5)</f>
        <v>6660</v>
      </c>
      <c r="H130" s="57"/>
      <c r="I130" s="58">
        <f t="shared" ref="I130" si="10">ROUND(G130*$J$108,0)</f>
        <v>6660</v>
      </c>
      <c r="J130" s="58"/>
    </row>
    <row r="131" spans="1:19" ht="15" customHeight="1" x14ac:dyDescent="0.2">
      <c r="A131" s="76"/>
      <c r="B131" s="76"/>
      <c r="C131" s="70">
        <v>800</v>
      </c>
      <c r="D131" s="70"/>
      <c r="E131" s="73"/>
      <c r="F131" s="74"/>
      <c r="G131" s="57">
        <f>MROUND(4465*$I$4,5)</f>
        <v>7135</v>
      </c>
      <c r="H131" s="57"/>
      <c r="I131" s="58">
        <f t="shared" si="7"/>
        <v>7135</v>
      </c>
      <c r="J131" s="58"/>
    </row>
    <row r="132" spans="1:19" ht="15" customHeight="1" x14ac:dyDescent="0.2">
      <c r="A132" s="76"/>
      <c r="B132" s="76"/>
      <c r="C132" s="70">
        <v>1000</v>
      </c>
      <c r="D132" s="70"/>
      <c r="E132" s="80"/>
      <c r="F132" s="81"/>
      <c r="G132" s="57">
        <f>MROUND(5245*$I$4,5)</f>
        <v>8385</v>
      </c>
      <c r="H132" s="57"/>
      <c r="I132" s="58">
        <f t="shared" si="7"/>
        <v>8385</v>
      </c>
      <c r="J132" s="58"/>
    </row>
    <row r="133" spans="1:19" ht="15" customHeight="1" x14ac:dyDescent="0.2">
      <c r="A133" s="12"/>
      <c r="B133" s="12"/>
      <c r="C133" s="13"/>
      <c r="D133" s="13"/>
      <c r="E133" s="12"/>
      <c r="F133" s="12"/>
      <c r="G133" s="6"/>
      <c r="H133" s="6"/>
      <c r="I133" s="7"/>
      <c r="J133" s="7"/>
    </row>
    <row r="134" spans="1:19" ht="15" customHeight="1" x14ac:dyDescent="0.2">
      <c r="A134" s="12"/>
      <c r="B134" s="12"/>
      <c r="C134" s="13"/>
      <c r="D134" s="13"/>
      <c r="E134" s="12"/>
      <c r="F134" s="12"/>
      <c r="G134" s="6"/>
      <c r="H134" s="6"/>
      <c r="I134" s="7"/>
      <c r="J134" s="7"/>
    </row>
    <row r="135" spans="1:19" ht="15" customHeight="1" x14ac:dyDescent="0.2">
      <c r="A135" s="12"/>
      <c r="B135" s="12"/>
      <c r="C135" s="13"/>
      <c r="D135" s="13"/>
      <c r="E135" s="12"/>
      <c r="F135" s="12"/>
      <c r="G135" s="6"/>
      <c r="H135" s="6"/>
      <c r="I135" s="7"/>
      <c r="J135" s="7"/>
    </row>
    <row r="136" spans="1:19" ht="15" customHeight="1" x14ac:dyDescent="0.2">
      <c r="A136" s="12"/>
      <c r="B136" s="12"/>
      <c r="C136" s="13"/>
      <c r="D136" s="13"/>
      <c r="E136" s="12"/>
      <c r="F136" s="12"/>
      <c r="G136" s="6"/>
      <c r="H136" s="6"/>
      <c r="I136" s="7"/>
      <c r="J136" s="7"/>
    </row>
    <row r="137" spans="1:19" ht="15" customHeight="1" x14ac:dyDescent="0.2">
      <c r="A137" s="12"/>
      <c r="B137" s="12"/>
      <c r="C137" s="13"/>
      <c r="D137" s="13"/>
      <c r="E137" s="12"/>
      <c r="F137" s="12"/>
      <c r="G137" s="6"/>
      <c r="H137" s="6"/>
      <c r="I137" s="7"/>
      <c r="J137" s="7"/>
    </row>
    <row r="138" spans="1:19" ht="15" customHeight="1" x14ac:dyDescent="0.2">
      <c r="A138" s="12"/>
      <c r="B138" s="12"/>
      <c r="C138" s="13"/>
      <c r="D138" s="13"/>
      <c r="E138" s="12"/>
      <c r="F138" s="12"/>
      <c r="G138" s="6"/>
      <c r="H138" s="6"/>
      <c r="I138" s="7"/>
      <c r="J138" s="7"/>
    </row>
    <row r="139" spans="1:19" ht="15" customHeight="1" x14ac:dyDescent="0.2">
      <c r="A139" s="5"/>
      <c r="B139" s="5"/>
      <c r="C139" s="5"/>
      <c r="D139" s="5"/>
      <c r="E139" s="5"/>
      <c r="F139" s="5"/>
      <c r="G139" s="6"/>
      <c r="H139" s="6"/>
      <c r="I139" s="7"/>
      <c r="J139" s="7"/>
    </row>
    <row r="140" spans="1:19" ht="15" customHeight="1" x14ac:dyDescent="0.25">
      <c r="A140" s="59" t="s">
        <v>60</v>
      </c>
      <c r="B140" s="59"/>
      <c r="C140" s="59"/>
      <c r="D140" s="59"/>
      <c r="E140" s="59"/>
      <c r="F140" s="59"/>
      <c r="G140" s="59"/>
      <c r="H140" s="59"/>
      <c r="I140" s="8">
        <v>25</v>
      </c>
      <c r="J140" s="8">
        <v>100</v>
      </c>
    </row>
    <row r="141" spans="1:19" ht="15" customHeight="1" x14ac:dyDescent="0.2">
      <c r="A141" s="55" t="s">
        <v>51</v>
      </c>
      <c r="B141" s="55"/>
      <c r="C141" s="55"/>
      <c r="D141" s="55"/>
      <c r="E141" s="55"/>
      <c r="F141" s="55"/>
      <c r="G141" s="55"/>
      <c r="H141" s="55"/>
      <c r="I141" s="55"/>
      <c r="J141" s="55"/>
    </row>
    <row r="142" spans="1:19" ht="15" customHeight="1" x14ac:dyDescent="0.2">
      <c r="A142" s="77" t="s">
        <v>43</v>
      </c>
      <c r="B142" s="78"/>
      <c r="C142" s="9">
        <v>200</v>
      </c>
      <c r="D142" s="9">
        <v>250</v>
      </c>
      <c r="E142" s="9">
        <v>315</v>
      </c>
      <c r="F142" s="9">
        <v>400</v>
      </c>
      <c r="G142" s="9">
        <v>500</v>
      </c>
      <c r="H142" s="9">
        <v>630</v>
      </c>
      <c r="I142" s="9">
        <v>800</v>
      </c>
      <c r="J142" s="9">
        <v>1000</v>
      </c>
    </row>
    <row r="143" spans="1:19" ht="15" customHeight="1" x14ac:dyDescent="0.2">
      <c r="A143" s="68" t="s">
        <v>171</v>
      </c>
      <c r="B143" s="69"/>
      <c r="C143" s="10">
        <f>MROUND(225*$I$4*$J$108,5)</f>
        <v>360</v>
      </c>
      <c r="D143" s="10">
        <f>MROUND(240*$I$4*$J$108,5)</f>
        <v>385</v>
      </c>
      <c r="E143" s="10">
        <f>MROUND(255*$I$4*$J$108,5)</f>
        <v>410</v>
      </c>
      <c r="F143" s="10">
        <f>MROUND(275*$I$4*$J$108,5)</f>
        <v>440</v>
      </c>
      <c r="G143" s="10">
        <f>MROUND(300*$I$4*$J$108,5)</f>
        <v>480</v>
      </c>
      <c r="H143" s="10">
        <f>MROUND(340*$I$4*$J$108,5)</f>
        <v>545</v>
      </c>
      <c r="I143" s="10">
        <f>MROUND(375*$I$4*$J$108,5)</f>
        <v>600</v>
      </c>
      <c r="J143" s="10">
        <f>MROUND(430*$I$4*$J$108,5)</f>
        <v>685</v>
      </c>
      <c r="L143" s="22"/>
      <c r="M143" s="22"/>
      <c r="N143" s="22"/>
      <c r="O143" s="22"/>
      <c r="P143" s="22"/>
      <c r="Q143" s="22"/>
      <c r="R143" s="22"/>
      <c r="S143" s="22"/>
    </row>
    <row r="144" spans="1:19" ht="15" customHeight="1" x14ac:dyDescent="0.2">
      <c r="A144" s="68" t="s">
        <v>172</v>
      </c>
      <c r="B144" s="69"/>
      <c r="C144" s="10">
        <f>MROUND(210*$I$4*$J$108,5)</f>
        <v>335</v>
      </c>
      <c r="D144" s="10">
        <f>MROUND(215*$I$4*$J$108,5)</f>
        <v>345</v>
      </c>
      <c r="E144" s="10">
        <f>MROUND(230*$I$4*$J$108,5)</f>
        <v>370</v>
      </c>
      <c r="F144" s="10">
        <f>MROUND(245*$I$4*$J$108,5)</f>
        <v>390</v>
      </c>
      <c r="G144" s="10">
        <f>MROUND(260*$I$4*$J$108,5)</f>
        <v>415</v>
      </c>
      <c r="H144" s="10">
        <f>MROUND(290*$I$4*$J$108,5)</f>
        <v>465</v>
      </c>
      <c r="I144" s="10">
        <f>MROUND(325*$I$4*$J$108,5)</f>
        <v>520</v>
      </c>
      <c r="J144" s="10">
        <f>MROUND(360*$I$4*$J$108,5)</f>
        <v>575</v>
      </c>
      <c r="L144" s="22"/>
      <c r="M144" s="22"/>
      <c r="N144" s="22"/>
      <c r="O144" s="22"/>
      <c r="P144" s="22"/>
      <c r="Q144" s="22"/>
      <c r="R144" s="22"/>
      <c r="S144" s="22"/>
    </row>
    <row r="145" spans="1:10" ht="15" customHeight="1" x14ac:dyDescent="0.2">
      <c r="A145" s="68" t="s">
        <v>173</v>
      </c>
      <c r="B145" s="69"/>
      <c r="C145" s="10">
        <f>C143+C144</f>
        <v>695</v>
      </c>
      <c r="D145" s="10">
        <f t="shared" ref="D145" si="11">D143+D144</f>
        <v>730</v>
      </c>
      <c r="E145" s="10">
        <f t="shared" ref="E145" si="12">E143+E144</f>
        <v>780</v>
      </c>
      <c r="F145" s="10">
        <f t="shared" ref="F145" si="13">F143+F144</f>
        <v>830</v>
      </c>
      <c r="G145" s="10">
        <f t="shared" ref="G145" si="14">G143+G144</f>
        <v>895</v>
      </c>
      <c r="H145" s="10">
        <f t="shared" ref="H145" si="15">H143+H144</f>
        <v>1010</v>
      </c>
      <c r="I145" s="10">
        <f t="shared" ref="I145" si="16">I143+I144</f>
        <v>1120</v>
      </c>
      <c r="J145" s="10">
        <f t="shared" ref="J145" si="17">J143+J144</f>
        <v>1260</v>
      </c>
    </row>
    <row r="146" spans="1:10" ht="1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ht="15" customHeight="1" x14ac:dyDescent="0.2">
      <c r="A147" s="3" t="s">
        <v>162</v>
      </c>
      <c r="B147" s="3"/>
      <c r="C147" s="3"/>
      <c r="D147" s="3"/>
      <c r="E147" s="3"/>
      <c r="F147" s="3"/>
      <c r="G147" s="3"/>
      <c r="H147" s="3"/>
      <c r="I147" s="3"/>
      <c r="J147" s="3"/>
    </row>
    <row r="148" spans="1:10" ht="15" customHeight="1" x14ac:dyDescent="0.2">
      <c r="A148" s="3" t="s">
        <v>163</v>
      </c>
      <c r="B148" s="3"/>
      <c r="C148" s="3"/>
      <c r="D148" s="3"/>
      <c r="E148" s="3"/>
      <c r="F148" s="3"/>
      <c r="G148" s="3"/>
      <c r="H148" s="3"/>
      <c r="I148" s="3"/>
      <c r="J148" s="3"/>
    </row>
    <row r="149" spans="1:10" ht="15" customHeight="1" x14ac:dyDescent="0.2">
      <c r="A149" s="3" t="s">
        <v>35</v>
      </c>
      <c r="B149" s="3"/>
      <c r="C149" s="3"/>
      <c r="D149" s="3"/>
      <c r="E149" s="3"/>
      <c r="F149" s="3"/>
      <c r="G149" s="3"/>
      <c r="H149" s="3"/>
      <c r="I149" s="3"/>
      <c r="J149" s="3"/>
    </row>
    <row r="150" spans="1:10" ht="15" customHeight="1" x14ac:dyDescent="0.2">
      <c r="A150" s="4" t="s">
        <v>33</v>
      </c>
    </row>
    <row r="151" spans="1:10" ht="15" customHeight="1" x14ac:dyDescent="0.2"/>
    <row r="152" spans="1:10" ht="15" customHeight="1" x14ac:dyDescent="0.2"/>
    <row r="153" spans="1:10" ht="15" customHeight="1" x14ac:dyDescent="0.2"/>
    <row r="154" spans="1:10" ht="15" customHeight="1" x14ac:dyDescent="0.2"/>
    <row r="155" spans="1:10" ht="15" customHeight="1" x14ac:dyDescent="0.2"/>
    <row r="156" spans="1:10" ht="15" customHeight="1" x14ac:dyDescent="0.2"/>
    <row r="157" spans="1:10" ht="15" customHeight="1" x14ac:dyDescent="0.2"/>
    <row r="158" spans="1:10" ht="15" customHeight="1" x14ac:dyDescent="0.2"/>
    <row r="159" spans="1:10" ht="15" customHeight="1" x14ac:dyDescent="0.2"/>
    <row r="160" spans="1:1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</sheetData>
  <sheetProtection algorithmName="SHA-512" hashValue="2RJPbgzwEsixixdxlKv0LOXTL5MWZyyVmZ3hRpowxr2pD71mADIFHEfNi8Ok7VhevaR98KiSho/zyIQVNZf45Q==" saltValue="t1La15bGjqXi1HWagraW6Q==" spinCount="100000" sheet="1" objects="1" scenarios="1"/>
  <mergeCells count="294">
    <mergeCell ref="I1:J1"/>
    <mergeCell ref="A6:H7"/>
    <mergeCell ref="I2:J3"/>
    <mergeCell ref="A9:H9"/>
    <mergeCell ref="I9:J9"/>
    <mergeCell ref="A10:J10"/>
    <mergeCell ref="A11:B11"/>
    <mergeCell ref="C11:D11"/>
    <mergeCell ref="E11:F11"/>
    <mergeCell ref="G11:H11"/>
    <mergeCell ref="I11:J11"/>
    <mergeCell ref="A12:B20"/>
    <mergeCell ref="C12:D12"/>
    <mergeCell ref="E12:F20"/>
    <mergeCell ref="G12:H12"/>
    <mergeCell ref="I12:J12"/>
    <mergeCell ref="C15:D15"/>
    <mergeCell ref="G15:H15"/>
    <mergeCell ref="I15:J15"/>
    <mergeCell ref="C16:D16"/>
    <mergeCell ref="G16:H16"/>
    <mergeCell ref="I16:J16"/>
    <mergeCell ref="C13:D13"/>
    <mergeCell ref="G13:H13"/>
    <mergeCell ref="I13:J13"/>
    <mergeCell ref="C14:D14"/>
    <mergeCell ref="G14:H14"/>
    <mergeCell ref="I14:J14"/>
    <mergeCell ref="C18:D18"/>
    <mergeCell ref="G18:H18"/>
    <mergeCell ref="I18:J18"/>
    <mergeCell ref="A21:B29"/>
    <mergeCell ref="C21:D21"/>
    <mergeCell ref="E21:F29"/>
    <mergeCell ref="G21:H21"/>
    <mergeCell ref="I21:J21"/>
    <mergeCell ref="C22:D22"/>
    <mergeCell ref="G22:H22"/>
    <mergeCell ref="C17:D17"/>
    <mergeCell ref="G17:H17"/>
    <mergeCell ref="I17:J17"/>
    <mergeCell ref="C19:D19"/>
    <mergeCell ref="G19:H19"/>
    <mergeCell ref="I19:J19"/>
    <mergeCell ref="I22:J22"/>
    <mergeCell ref="C23:D23"/>
    <mergeCell ref="G23:H23"/>
    <mergeCell ref="I23:J23"/>
    <mergeCell ref="C24:D24"/>
    <mergeCell ref="G24:H24"/>
    <mergeCell ref="I24:J24"/>
    <mergeCell ref="C20:D20"/>
    <mergeCell ref="G20:H20"/>
    <mergeCell ref="I20:J20"/>
    <mergeCell ref="C28:D28"/>
    <mergeCell ref="G28:H28"/>
    <mergeCell ref="I28:J28"/>
    <mergeCell ref="C29:D29"/>
    <mergeCell ref="G29:H29"/>
    <mergeCell ref="I29:J29"/>
    <mergeCell ref="C25:D25"/>
    <mergeCell ref="G25:H25"/>
    <mergeCell ref="I25:J25"/>
    <mergeCell ref="C26:D26"/>
    <mergeCell ref="G26:H26"/>
    <mergeCell ref="I26:J26"/>
    <mergeCell ref="C27:D27"/>
    <mergeCell ref="G27:H27"/>
    <mergeCell ref="I27:J27"/>
    <mergeCell ref="I34:J34"/>
    <mergeCell ref="E30:F38"/>
    <mergeCell ref="G30:H30"/>
    <mergeCell ref="I30:J30"/>
    <mergeCell ref="C31:D31"/>
    <mergeCell ref="G31:H31"/>
    <mergeCell ref="I31:J31"/>
    <mergeCell ref="C32:D32"/>
    <mergeCell ref="G32:H32"/>
    <mergeCell ref="C36:D36"/>
    <mergeCell ref="G36:H36"/>
    <mergeCell ref="I36:J36"/>
    <mergeCell ref="A42:B42"/>
    <mergeCell ref="A43:B43"/>
    <mergeCell ref="A44:B44"/>
    <mergeCell ref="A45:B45"/>
    <mergeCell ref="I51:J51"/>
    <mergeCell ref="C38:D38"/>
    <mergeCell ref="G38:H38"/>
    <mergeCell ref="I38:J38"/>
    <mergeCell ref="A40:H40"/>
    <mergeCell ref="A41:J41"/>
    <mergeCell ref="A30:B38"/>
    <mergeCell ref="C30:D30"/>
    <mergeCell ref="C35:D35"/>
    <mergeCell ref="G35:H35"/>
    <mergeCell ref="I35:J35"/>
    <mergeCell ref="C37:D37"/>
    <mergeCell ref="G37:H37"/>
    <mergeCell ref="I37:J37"/>
    <mergeCell ref="I32:J32"/>
    <mergeCell ref="C33:D33"/>
    <mergeCell ref="G33:H33"/>
    <mergeCell ref="I33:J33"/>
    <mergeCell ref="C34:D34"/>
    <mergeCell ref="G34:H34"/>
    <mergeCell ref="A56:H57"/>
    <mergeCell ref="I52:J53"/>
    <mergeCell ref="A59:H59"/>
    <mergeCell ref="I59:J59"/>
    <mergeCell ref="A60:J60"/>
    <mergeCell ref="A61:B61"/>
    <mergeCell ref="C61:D61"/>
    <mergeCell ref="E61:F61"/>
    <mergeCell ref="G61:H61"/>
    <mergeCell ref="I61:J61"/>
    <mergeCell ref="I64:J64"/>
    <mergeCell ref="C65:D65"/>
    <mergeCell ref="G65:H65"/>
    <mergeCell ref="I65:J65"/>
    <mergeCell ref="C66:D66"/>
    <mergeCell ref="G66:H66"/>
    <mergeCell ref="I66:J66"/>
    <mergeCell ref="A62:B70"/>
    <mergeCell ref="C62:D62"/>
    <mergeCell ref="E62:F70"/>
    <mergeCell ref="G62:H62"/>
    <mergeCell ref="I62:J62"/>
    <mergeCell ref="C63:D63"/>
    <mergeCell ref="G63:H63"/>
    <mergeCell ref="I63:J63"/>
    <mergeCell ref="C64:D64"/>
    <mergeCell ref="G64:H64"/>
    <mergeCell ref="C68:D68"/>
    <mergeCell ref="G68:H68"/>
    <mergeCell ref="I68:J68"/>
    <mergeCell ref="A71:B79"/>
    <mergeCell ref="C71:D71"/>
    <mergeCell ref="E71:F79"/>
    <mergeCell ref="G71:H71"/>
    <mergeCell ref="I71:J71"/>
    <mergeCell ref="C72:D72"/>
    <mergeCell ref="G72:H72"/>
    <mergeCell ref="C67:D67"/>
    <mergeCell ref="G67:H67"/>
    <mergeCell ref="I67:J67"/>
    <mergeCell ref="C69:D69"/>
    <mergeCell ref="G69:H69"/>
    <mergeCell ref="I69:J69"/>
    <mergeCell ref="I72:J72"/>
    <mergeCell ref="C73:D73"/>
    <mergeCell ref="G73:H73"/>
    <mergeCell ref="I73:J73"/>
    <mergeCell ref="C74:D74"/>
    <mergeCell ref="G74:H74"/>
    <mergeCell ref="I74:J74"/>
    <mergeCell ref="C70:D70"/>
    <mergeCell ref="G70:H70"/>
    <mergeCell ref="I70:J70"/>
    <mergeCell ref="C78:D78"/>
    <mergeCell ref="G78:H78"/>
    <mergeCell ref="I78:J78"/>
    <mergeCell ref="C79:D79"/>
    <mergeCell ref="G79:H79"/>
    <mergeCell ref="I79:J79"/>
    <mergeCell ref="C75:D75"/>
    <mergeCell ref="G75:H75"/>
    <mergeCell ref="I75:J75"/>
    <mergeCell ref="C76:D76"/>
    <mergeCell ref="G76:H76"/>
    <mergeCell ref="I76:J76"/>
    <mergeCell ref="C77:D77"/>
    <mergeCell ref="G77:H77"/>
    <mergeCell ref="I77:J77"/>
    <mergeCell ref="I84:J84"/>
    <mergeCell ref="E80:F88"/>
    <mergeCell ref="G80:H80"/>
    <mergeCell ref="I80:J80"/>
    <mergeCell ref="C81:D81"/>
    <mergeCell ref="G81:H81"/>
    <mergeCell ref="I81:J81"/>
    <mergeCell ref="C82:D82"/>
    <mergeCell ref="G82:H82"/>
    <mergeCell ref="C86:D86"/>
    <mergeCell ref="G86:H86"/>
    <mergeCell ref="I86:J86"/>
    <mergeCell ref="A92:B92"/>
    <mergeCell ref="A93:B93"/>
    <mergeCell ref="A94:B94"/>
    <mergeCell ref="A95:B95"/>
    <mergeCell ref="I101:J101"/>
    <mergeCell ref="C88:D88"/>
    <mergeCell ref="G88:H88"/>
    <mergeCell ref="I88:J88"/>
    <mergeCell ref="A90:H90"/>
    <mergeCell ref="A91:J91"/>
    <mergeCell ref="A80:B88"/>
    <mergeCell ref="C80:D80"/>
    <mergeCell ref="C85:D85"/>
    <mergeCell ref="G85:H85"/>
    <mergeCell ref="I85:J85"/>
    <mergeCell ref="C87:D87"/>
    <mergeCell ref="G87:H87"/>
    <mergeCell ref="I87:J87"/>
    <mergeCell ref="I82:J82"/>
    <mergeCell ref="C83:D83"/>
    <mergeCell ref="G83:H83"/>
    <mergeCell ref="I83:J83"/>
    <mergeCell ref="C84:D84"/>
    <mergeCell ref="G84:H84"/>
    <mergeCell ref="A106:H107"/>
    <mergeCell ref="I102:J103"/>
    <mergeCell ref="A109:H109"/>
    <mergeCell ref="I109:J109"/>
    <mergeCell ref="A110:J110"/>
    <mergeCell ref="A111:B111"/>
    <mergeCell ref="C111:D111"/>
    <mergeCell ref="E111:F111"/>
    <mergeCell ref="G111:H111"/>
    <mergeCell ref="I111:J111"/>
    <mergeCell ref="I112:J112"/>
    <mergeCell ref="C113:D113"/>
    <mergeCell ref="G113:H113"/>
    <mergeCell ref="I113:J113"/>
    <mergeCell ref="C114:D114"/>
    <mergeCell ref="G114:H114"/>
    <mergeCell ref="I114:J114"/>
    <mergeCell ref="A112:B118"/>
    <mergeCell ref="E112:F118"/>
    <mergeCell ref="C112:D112"/>
    <mergeCell ref="G112:H112"/>
    <mergeCell ref="C116:D116"/>
    <mergeCell ref="G116:H116"/>
    <mergeCell ref="I116:J116"/>
    <mergeCell ref="A119:B125"/>
    <mergeCell ref="E119:F125"/>
    <mergeCell ref="C115:D115"/>
    <mergeCell ref="G115:H115"/>
    <mergeCell ref="I115:J115"/>
    <mergeCell ref="C117:D117"/>
    <mergeCell ref="G117:H117"/>
    <mergeCell ref="I117:J117"/>
    <mergeCell ref="C119:D119"/>
    <mergeCell ref="G119:H119"/>
    <mergeCell ref="I119:J119"/>
    <mergeCell ref="C120:D120"/>
    <mergeCell ref="G120:H120"/>
    <mergeCell ref="I120:J120"/>
    <mergeCell ref="C118:D118"/>
    <mergeCell ref="G118:H118"/>
    <mergeCell ref="I118:J118"/>
    <mergeCell ref="C124:D124"/>
    <mergeCell ref="G124:H124"/>
    <mergeCell ref="I124:J124"/>
    <mergeCell ref="C125:D125"/>
    <mergeCell ref="G125:H125"/>
    <mergeCell ref="I125:J125"/>
    <mergeCell ref="C121:D121"/>
    <mergeCell ref="G121:H121"/>
    <mergeCell ref="I121:J121"/>
    <mergeCell ref="C122:D122"/>
    <mergeCell ref="G122:H122"/>
    <mergeCell ref="I122:J122"/>
    <mergeCell ref="C123:D123"/>
    <mergeCell ref="G123:H123"/>
    <mergeCell ref="I123:J123"/>
    <mergeCell ref="G128:H128"/>
    <mergeCell ref="I128:J128"/>
    <mergeCell ref="E126:F132"/>
    <mergeCell ref="C126:D126"/>
    <mergeCell ref="G126:H126"/>
    <mergeCell ref="C130:D130"/>
    <mergeCell ref="G130:H130"/>
    <mergeCell ref="I130:J130"/>
    <mergeCell ref="A142:B142"/>
    <mergeCell ref="A143:B143"/>
    <mergeCell ref="A144:B144"/>
    <mergeCell ref="A145:B145"/>
    <mergeCell ref="C132:D132"/>
    <mergeCell ref="G132:H132"/>
    <mergeCell ref="I132:J132"/>
    <mergeCell ref="A140:H140"/>
    <mergeCell ref="A141:J141"/>
    <mergeCell ref="A126:B132"/>
    <mergeCell ref="C129:D129"/>
    <mergeCell ref="G129:H129"/>
    <mergeCell ref="I129:J129"/>
    <mergeCell ref="C131:D131"/>
    <mergeCell ref="G131:H131"/>
    <mergeCell ref="I131:J131"/>
    <mergeCell ref="I126:J126"/>
    <mergeCell ref="C127:D127"/>
    <mergeCell ref="G127:H127"/>
    <mergeCell ref="I127:J127"/>
    <mergeCell ref="C128:D128"/>
  </mergeCells>
  <printOptions horizontalCentered="1"/>
  <pageMargins left="0.59055118110236227" right="0.59055118110236227" top="0.78740157480314965" bottom="0.78740157480314965" header="0.39370078740157483" footer="0.39370078740157483"/>
  <pageSetup paperSize="9" scale="93" orientation="portrait" r:id="rId1"/>
  <headerFooter>
    <oddFooter xml:space="preserve">&amp;L&amp;"Arial,Obyčejné"&amp;10   ITS097-01, © Greif-akustika, s.r.o.&amp;R&amp;"Arial,Obyčejné"&amp;10List &amp;P/&amp;N    </oddFooter>
  </headerFooter>
  <rowBreaks count="2" manualBreakCount="2">
    <brk id="50" max="9" man="1"/>
    <brk id="100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0070C0"/>
  </sheetPr>
  <dimension ref="A1:J2000"/>
  <sheetViews>
    <sheetView showGridLines="0" view="pageBreakPreview" zoomScale="120" zoomScaleNormal="120" zoomScaleSheetLayoutView="120" workbookViewId="0">
      <selection activeCell="I2" sqref="I2:J3"/>
    </sheetView>
  </sheetViews>
  <sheetFormatPr defaultColWidth="9" defaultRowHeight="14.25" x14ac:dyDescent="0.2"/>
  <cols>
    <col min="1" max="25" width="8.625" style="1" customWidth="1"/>
    <col min="26" max="16384" width="9" style="1"/>
  </cols>
  <sheetData>
    <row r="1" spans="1:10" ht="15" customHeight="1" thickBot="1" x14ac:dyDescent="0.25">
      <c r="I1" s="49" t="s">
        <v>2</v>
      </c>
      <c r="J1" s="49"/>
    </row>
    <row r="2" spans="1:10" ht="15" customHeight="1" x14ac:dyDescent="0.2">
      <c r="I2" s="63">
        <f>'Buňky G-GE-GH'!I2:J3</f>
        <v>0</v>
      </c>
      <c r="J2" s="64"/>
    </row>
    <row r="3" spans="1:10" ht="15" customHeight="1" thickBot="1" x14ac:dyDescent="0.25">
      <c r="I3" s="65"/>
      <c r="J3" s="66"/>
    </row>
    <row r="4" spans="1:10" ht="15" customHeight="1" x14ac:dyDescent="0.2"/>
    <row r="5" spans="1:10" ht="15" customHeight="1" x14ac:dyDescent="0.2"/>
    <row r="6" spans="1:10" ht="15" customHeight="1" x14ac:dyDescent="0.2">
      <c r="A6" s="50" t="s">
        <v>63</v>
      </c>
      <c r="B6" s="50"/>
      <c r="C6" s="50"/>
      <c r="D6" s="50"/>
      <c r="E6" s="50"/>
      <c r="F6" s="50"/>
      <c r="G6" s="50"/>
      <c r="H6" s="50"/>
    </row>
    <row r="7" spans="1:10" ht="15" customHeight="1" x14ac:dyDescent="0.2">
      <c r="A7" s="50"/>
      <c r="B7" s="50"/>
      <c r="C7" s="50"/>
      <c r="D7" s="50"/>
      <c r="E7" s="50"/>
      <c r="F7" s="50"/>
      <c r="G7" s="50"/>
      <c r="H7" s="50"/>
    </row>
    <row r="8" spans="1:10" ht="15" customHeight="1" x14ac:dyDescent="0.2">
      <c r="I8" s="23">
        <f>1*1.03*1.03*1.03*1.2*1.15*1.06</f>
        <v>1.5984410555999999</v>
      </c>
      <c r="J8" s="23">
        <f>1-I2</f>
        <v>1</v>
      </c>
    </row>
    <row r="9" spans="1:10" ht="15" customHeight="1" x14ac:dyDescent="0.25">
      <c r="A9" s="59" t="s">
        <v>56</v>
      </c>
      <c r="B9" s="59"/>
      <c r="C9" s="59"/>
      <c r="D9" s="59"/>
      <c r="E9" s="59"/>
      <c r="F9" s="59"/>
      <c r="G9" s="59"/>
      <c r="H9" s="59"/>
      <c r="I9" s="67" t="s">
        <v>68</v>
      </c>
      <c r="J9" s="67"/>
    </row>
    <row r="10" spans="1:10" ht="15" customHeight="1" x14ac:dyDescent="0.2">
      <c r="A10" s="55" t="s">
        <v>46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0" ht="15" customHeight="1" x14ac:dyDescent="0.25">
      <c r="A11" s="62" t="s">
        <v>40</v>
      </c>
      <c r="B11" s="62"/>
      <c r="C11" s="62" t="s">
        <v>41</v>
      </c>
      <c r="D11" s="62"/>
      <c r="E11" s="62" t="s">
        <v>42</v>
      </c>
      <c r="F11" s="62"/>
      <c r="G11" s="62" t="s">
        <v>175</v>
      </c>
      <c r="H11" s="62"/>
      <c r="I11" s="62" t="s">
        <v>39</v>
      </c>
      <c r="J11" s="62"/>
    </row>
    <row r="12" spans="1:10" ht="15" customHeight="1" x14ac:dyDescent="0.2">
      <c r="A12" s="71" t="s">
        <v>67</v>
      </c>
      <c r="B12" s="86"/>
      <c r="C12" s="70">
        <v>200</v>
      </c>
      <c r="D12" s="70"/>
      <c r="E12" s="79">
        <v>1000</v>
      </c>
      <c r="F12" s="72"/>
      <c r="G12" s="57">
        <f>MROUND(755*$I$8,5)</f>
        <v>1205</v>
      </c>
      <c r="H12" s="57"/>
      <c r="I12" s="58">
        <f>ROUND(G12*$J$8,0)</f>
        <v>1205</v>
      </c>
      <c r="J12" s="58"/>
    </row>
    <row r="13" spans="1:10" ht="15" customHeight="1" x14ac:dyDescent="0.2">
      <c r="A13" s="87"/>
      <c r="B13" s="88"/>
      <c r="C13" s="70">
        <v>250</v>
      </c>
      <c r="D13" s="70"/>
      <c r="E13" s="73"/>
      <c r="F13" s="74"/>
      <c r="G13" s="57">
        <f>MROUND(820*$I$8,5)</f>
        <v>1310</v>
      </c>
      <c r="H13" s="57"/>
      <c r="I13" s="58">
        <f t="shared" ref="I13:I38" si="0">ROUND(G13*$J$8,0)</f>
        <v>1310</v>
      </c>
      <c r="J13" s="58"/>
    </row>
    <row r="14" spans="1:10" ht="15" customHeight="1" x14ac:dyDescent="0.2">
      <c r="A14" s="87"/>
      <c r="B14" s="88"/>
      <c r="C14" s="70">
        <v>315</v>
      </c>
      <c r="D14" s="70"/>
      <c r="E14" s="73"/>
      <c r="F14" s="74"/>
      <c r="G14" s="57">
        <f>MROUND(930*$I$8,5)</f>
        <v>1485</v>
      </c>
      <c r="H14" s="57"/>
      <c r="I14" s="58">
        <f t="shared" si="0"/>
        <v>1485</v>
      </c>
      <c r="J14" s="58"/>
    </row>
    <row r="15" spans="1:10" ht="15" customHeight="1" x14ac:dyDescent="0.2">
      <c r="A15" s="87"/>
      <c r="B15" s="88"/>
      <c r="C15" s="70">
        <v>400</v>
      </c>
      <c r="D15" s="70"/>
      <c r="E15" s="73"/>
      <c r="F15" s="74"/>
      <c r="G15" s="57">
        <f>MROUND(1085*$I$8,5)</f>
        <v>1735</v>
      </c>
      <c r="H15" s="57"/>
      <c r="I15" s="58">
        <f t="shared" si="0"/>
        <v>1735</v>
      </c>
      <c r="J15" s="58"/>
    </row>
    <row r="16" spans="1:10" ht="15" customHeight="1" x14ac:dyDescent="0.2">
      <c r="A16" s="87"/>
      <c r="B16" s="88"/>
      <c r="C16" s="70">
        <v>500</v>
      </c>
      <c r="D16" s="70"/>
      <c r="E16" s="73"/>
      <c r="F16" s="74"/>
      <c r="G16" s="57">
        <f>MROUND(1245*$I$8,5)</f>
        <v>1990</v>
      </c>
      <c r="H16" s="57"/>
      <c r="I16" s="58">
        <f t="shared" si="0"/>
        <v>1990</v>
      </c>
      <c r="J16" s="58"/>
    </row>
    <row r="17" spans="1:10" ht="15" customHeight="1" x14ac:dyDescent="0.2">
      <c r="A17" s="87"/>
      <c r="B17" s="88"/>
      <c r="C17" s="70">
        <v>630</v>
      </c>
      <c r="D17" s="70"/>
      <c r="E17" s="73"/>
      <c r="F17" s="74"/>
      <c r="G17" s="57">
        <f>MROUND(1505*$I$8,5)</f>
        <v>2405</v>
      </c>
      <c r="H17" s="57"/>
      <c r="I17" s="58">
        <f t="shared" si="0"/>
        <v>2405</v>
      </c>
      <c r="J17" s="58"/>
    </row>
    <row r="18" spans="1:10" ht="15" customHeight="1" x14ac:dyDescent="0.2">
      <c r="A18" s="87"/>
      <c r="B18" s="88"/>
      <c r="C18" s="70">
        <v>710</v>
      </c>
      <c r="D18" s="70"/>
      <c r="E18" s="73"/>
      <c r="F18" s="74"/>
      <c r="G18" s="57">
        <f>MROUND(1670*$I$8,5)</f>
        <v>2670</v>
      </c>
      <c r="H18" s="57"/>
      <c r="I18" s="58">
        <f t="shared" ref="I18" si="1">ROUND(G18*$J$8,0)</f>
        <v>2670</v>
      </c>
      <c r="J18" s="58"/>
    </row>
    <row r="19" spans="1:10" ht="15" customHeight="1" x14ac:dyDescent="0.2">
      <c r="A19" s="87"/>
      <c r="B19" s="88"/>
      <c r="C19" s="70">
        <v>800</v>
      </c>
      <c r="D19" s="70"/>
      <c r="E19" s="73"/>
      <c r="F19" s="74"/>
      <c r="G19" s="57">
        <f>MROUND(1820*$I$8,5)</f>
        <v>2910</v>
      </c>
      <c r="H19" s="57"/>
      <c r="I19" s="58">
        <f t="shared" si="0"/>
        <v>2910</v>
      </c>
      <c r="J19" s="58"/>
    </row>
    <row r="20" spans="1:10" ht="15" customHeight="1" x14ac:dyDescent="0.2">
      <c r="A20" s="89"/>
      <c r="B20" s="90"/>
      <c r="C20" s="70">
        <v>1000</v>
      </c>
      <c r="D20" s="70"/>
      <c r="E20" s="80"/>
      <c r="F20" s="81"/>
      <c r="G20" s="57">
        <f>MROUND(2160*$I$8,5)</f>
        <v>3455</v>
      </c>
      <c r="H20" s="57"/>
      <c r="I20" s="58">
        <f t="shared" si="0"/>
        <v>3455</v>
      </c>
      <c r="J20" s="58"/>
    </row>
    <row r="21" spans="1:10" ht="15" customHeight="1" x14ac:dyDescent="0.2">
      <c r="A21" s="71" t="s">
        <v>67</v>
      </c>
      <c r="B21" s="72"/>
      <c r="C21" s="70">
        <v>200</v>
      </c>
      <c r="D21" s="70"/>
      <c r="E21" s="79">
        <v>1500</v>
      </c>
      <c r="F21" s="72"/>
      <c r="G21" s="57">
        <f>MROUND(1130*$I$8,5)</f>
        <v>1805</v>
      </c>
      <c r="H21" s="57"/>
      <c r="I21" s="58">
        <f t="shared" si="0"/>
        <v>1805</v>
      </c>
      <c r="J21" s="58"/>
    </row>
    <row r="22" spans="1:10" ht="15" customHeight="1" x14ac:dyDescent="0.2">
      <c r="A22" s="73"/>
      <c r="B22" s="74"/>
      <c r="C22" s="70">
        <v>250</v>
      </c>
      <c r="D22" s="70"/>
      <c r="E22" s="73"/>
      <c r="F22" s="74"/>
      <c r="G22" s="57">
        <f>MROUND(1225*$I$8,5)</f>
        <v>1960</v>
      </c>
      <c r="H22" s="57"/>
      <c r="I22" s="58">
        <f t="shared" si="0"/>
        <v>1960</v>
      </c>
      <c r="J22" s="58"/>
    </row>
    <row r="23" spans="1:10" ht="15" customHeight="1" x14ac:dyDescent="0.2">
      <c r="A23" s="73"/>
      <c r="B23" s="74"/>
      <c r="C23" s="70">
        <v>315</v>
      </c>
      <c r="D23" s="70"/>
      <c r="E23" s="73"/>
      <c r="F23" s="74"/>
      <c r="G23" s="57">
        <f>MROUND(1390*$I$8,5)</f>
        <v>2220</v>
      </c>
      <c r="H23" s="57"/>
      <c r="I23" s="58">
        <f t="shared" si="0"/>
        <v>2220</v>
      </c>
      <c r="J23" s="58"/>
    </row>
    <row r="24" spans="1:10" ht="15" customHeight="1" x14ac:dyDescent="0.2">
      <c r="A24" s="73"/>
      <c r="B24" s="74"/>
      <c r="C24" s="70">
        <v>400</v>
      </c>
      <c r="D24" s="70"/>
      <c r="E24" s="73"/>
      <c r="F24" s="74"/>
      <c r="G24" s="57">
        <f>MROUND(1625*$I$8,5)</f>
        <v>2595</v>
      </c>
      <c r="H24" s="57"/>
      <c r="I24" s="58">
        <f t="shared" si="0"/>
        <v>2595</v>
      </c>
      <c r="J24" s="58"/>
    </row>
    <row r="25" spans="1:10" ht="15" customHeight="1" x14ac:dyDescent="0.2">
      <c r="A25" s="73"/>
      <c r="B25" s="74"/>
      <c r="C25" s="70">
        <v>500</v>
      </c>
      <c r="D25" s="70"/>
      <c r="E25" s="73"/>
      <c r="F25" s="74"/>
      <c r="G25" s="57">
        <f>MROUND(1865*$I$8,5)</f>
        <v>2980</v>
      </c>
      <c r="H25" s="57"/>
      <c r="I25" s="58">
        <f t="shared" si="0"/>
        <v>2980</v>
      </c>
      <c r="J25" s="58"/>
    </row>
    <row r="26" spans="1:10" ht="15" customHeight="1" x14ac:dyDescent="0.2">
      <c r="A26" s="73"/>
      <c r="B26" s="74"/>
      <c r="C26" s="70">
        <v>630</v>
      </c>
      <c r="D26" s="70"/>
      <c r="E26" s="73"/>
      <c r="F26" s="74"/>
      <c r="G26" s="57">
        <f>MROUND(2260*$I$8,5)</f>
        <v>3610</v>
      </c>
      <c r="H26" s="57"/>
      <c r="I26" s="58">
        <f t="shared" si="0"/>
        <v>3610</v>
      </c>
      <c r="J26" s="58"/>
    </row>
    <row r="27" spans="1:10" ht="15" customHeight="1" x14ac:dyDescent="0.2">
      <c r="A27" s="73"/>
      <c r="B27" s="74"/>
      <c r="C27" s="70">
        <v>710</v>
      </c>
      <c r="D27" s="70"/>
      <c r="E27" s="73"/>
      <c r="F27" s="74"/>
      <c r="G27" s="57">
        <f>MROUND(2520*$I$8,5)</f>
        <v>4030</v>
      </c>
      <c r="H27" s="57"/>
      <c r="I27" s="58">
        <f t="shared" ref="I27" si="2">ROUND(G27*$J$8,0)</f>
        <v>4030</v>
      </c>
      <c r="J27" s="58"/>
    </row>
    <row r="28" spans="1:10" ht="15" customHeight="1" x14ac:dyDescent="0.2">
      <c r="A28" s="73"/>
      <c r="B28" s="74"/>
      <c r="C28" s="70">
        <v>800</v>
      </c>
      <c r="D28" s="70"/>
      <c r="E28" s="73"/>
      <c r="F28" s="74"/>
      <c r="G28" s="57">
        <f>MROUND(2730*$I$8,5)</f>
        <v>4365</v>
      </c>
      <c r="H28" s="57"/>
      <c r="I28" s="58">
        <f t="shared" si="0"/>
        <v>4365</v>
      </c>
      <c r="J28" s="58"/>
    </row>
    <row r="29" spans="1:10" ht="15" customHeight="1" x14ac:dyDescent="0.2">
      <c r="A29" s="80"/>
      <c r="B29" s="81"/>
      <c r="C29" s="70">
        <v>1000</v>
      </c>
      <c r="D29" s="70"/>
      <c r="E29" s="80"/>
      <c r="F29" s="81"/>
      <c r="G29" s="57">
        <f>MROUND(3240*$I$8,5)</f>
        <v>5180</v>
      </c>
      <c r="H29" s="57"/>
      <c r="I29" s="58">
        <f t="shared" si="0"/>
        <v>5180</v>
      </c>
      <c r="J29" s="58"/>
    </row>
    <row r="30" spans="1:10" ht="15" customHeight="1" x14ac:dyDescent="0.2">
      <c r="A30" s="71" t="s">
        <v>67</v>
      </c>
      <c r="B30" s="72"/>
      <c r="C30" s="70">
        <v>200</v>
      </c>
      <c r="D30" s="70"/>
      <c r="E30" s="79">
        <v>2000</v>
      </c>
      <c r="F30" s="72"/>
      <c r="G30" s="57">
        <f>MROUND(1505*$I$8,5)</f>
        <v>2405</v>
      </c>
      <c r="H30" s="57"/>
      <c r="I30" s="58">
        <f t="shared" si="0"/>
        <v>2405</v>
      </c>
      <c r="J30" s="58"/>
    </row>
    <row r="31" spans="1:10" ht="15" customHeight="1" x14ac:dyDescent="0.2">
      <c r="A31" s="73"/>
      <c r="B31" s="74"/>
      <c r="C31" s="70">
        <v>250</v>
      </c>
      <c r="D31" s="70"/>
      <c r="E31" s="73"/>
      <c r="F31" s="74"/>
      <c r="G31" s="57">
        <f>MROUND(1640*$I$8,5)</f>
        <v>2620</v>
      </c>
      <c r="H31" s="57"/>
      <c r="I31" s="58">
        <f t="shared" si="0"/>
        <v>2620</v>
      </c>
      <c r="J31" s="58"/>
    </row>
    <row r="32" spans="1:10" ht="15" customHeight="1" x14ac:dyDescent="0.2">
      <c r="A32" s="73"/>
      <c r="B32" s="74"/>
      <c r="C32" s="70">
        <v>315</v>
      </c>
      <c r="D32" s="70"/>
      <c r="E32" s="73"/>
      <c r="F32" s="74"/>
      <c r="G32" s="57">
        <f>MROUND(1860*$I$8,5)</f>
        <v>2975</v>
      </c>
      <c r="H32" s="57"/>
      <c r="I32" s="58">
        <f t="shared" si="0"/>
        <v>2975</v>
      </c>
      <c r="J32" s="58"/>
    </row>
    <row r="33" spans="1:10" ht="15" customHeight="1" x14ac:dyDescent="0.2">
      <c r="A33" s="73"/>
      <c r="B33" s="74"/>
      <c r="C33" s="70">
        <v>400</v>
      </c>
      <c r="D33" s="70"/>
      <c r="E33" s="73"/>
      <c r="F33" s="74"/>
      <c r="G33" s="57">
        <f>MROUND(2165*$I$8,5)</f>
        <v>3460</v>
      </c>
      <c r="H33" s="57"/>
      <c r="I33" s="58">
        <f t="shared" si="0"/>
        <v>3460</v>
      </c>
      <c r="J33" s="58"/>
    </row>
    <row r="34" spans="1:10" ht="15" customHeight="1" x14ac:dyDescent="0.2">
      <c r="A34" s="73"/>
      <c r="B34" s="74"/>
      <c r="C34" s="70">
        <v>500</v>
      </c>
      <c r="D34" s="70"/>
      <c r="E34" s="73"/>
      <c r="F34" s="74"/>
      <c r="G34" s="57">
        <f>MROUND(2485*$I$8,5)</f>
        <v>3970</v>
      </c>
      <c r="H34" s="57"/>
      <c r="I34" s="58">
        <f t="shared" si="0"/>
        <v>3970</v>
      </c>
      <c r="J34" s="58"/>
    </row>
    <row r="35" spans="1:10" ht="15" customHeight="1" x14ac:dyDescent="0.2">
      <c r="A35" s="73"/>
      <c r="B35" s="74"/>
      <c r="C35" s="70">
        <v>630</v>
      </c>
      <c r="D35" s="70"/>
      <c r="E35" s="73"/>
      <c r="F35" s="74"/>
      <c r="G35" s="57">
        <f>MROUND(3015*$I$8,5)</f>
        <v>4820</v>
      </c>
      <c r="H35" s="57"/>
      <c r="I35" s="58">
        <f t="shared" si="0"/>
        <v>4820</v>
      </c>
      <c r="J35" s="58"/>
    </row>
    <row r="36" spans="1:10" ht="15" customHeight="1" x14ac:dyDescent="0.2">
      <c r="A36" s="73"/>
      <c r="B36" s="74"/>
      <c r="C36" s="70">
        <v>710</v>
      </c>
      <c r="D36" s="70"/>
      <c r="E36" s="73"/>
      <c r="F36" s="74"/>
      <c r="G36" s="57">
        <f>MROUND(3365*$I$8,5)</f>
        <v>5380</v>
      </c>
      <c r="H36" s="57"/>
      <c r="I36" s="58">
        <f t="shared" ref="I36" si="3">ROUND(G36*$J$8,0)</f>
        <v>5380</v>
      </c>
      <c r="J36" s="58"/>
    </row>
    <row r="37" spans="1:10" ht="15" customHeight="1" x14ac:dyDescent="0.2">
      <c r="A37" s="73"/>
      <c r="B37" s="74"/>
      <c r="C37" s="70">
        <v>800</v>
      </c>
      <c r="D37" s="70"/>
      <c r="E37" s="73"/>
      <c r="F37" s="74"/>
      <c r="G37" s="57">
        <f>MROUND(3640*$I$8,5)</f>
        <v>5820</v>
      </c>
      <c r="H37" s="57"/>
      <c r="I37" s="58">
        <f t="shared" si="0"/>
        <v>5820</v>
      </c>
      <c r="J37" s="58"/>
    </row>
    <row r="38" spans="1:10" ht="15" customHeight="1" x14ac:dyDescent="0.2">
      <c r="A38" s="80"/>
      <c r="B38" s="81"/>
      <c r="C38" s="70">
        <v>1000</v>
      </c>
      <c r="D38" s="70"/>
      <c r="E38" s="80"/>
      <c r="F38" s="81"/>
      <c r="G38" s="57">
        <f>MROUND(4325*$I$8,5)</f>
        <v>6915</v>
      </c>
      <c r="H38" s="57"/>
      <c r="I38" s="58">
        <f t="shared" si="0"/>
        <v>6915</v>
      </c>
      <c r="J38" s="58"/>
    </row>
    <row r="39" spans="1:10" ht="15" customHeight="1" x14ac:dyDescent="0.2">
      <c r="A39" s="5"/>
      <c r="B39" s="5"/>
      <c r="C39" s="5"/>
      <c r="D39" s="5"/>
      <c r="E39" s="5"/>
      <c r="F39" s="5"/>
      <c r="G39" s="6"/>
      <c r="H39" s="6"/>
      <c r="I39" s="7"/>
      <c r="J39" s="7"/>
    </row>
    <row r="40" spans="1:10" ht="15" customHeight="1" x14ac:dyDescent="0.25">
      <c r="A40" s="59" t="s">
        <v>57</v>
      </c>
      <c r="B40" s="59"/>
      <c r="C40" s="59"/>
      <c r="D40" s="59"/>
      <c r="E40" s="59"/>
      <c r="F40" s="59"/>
      <c r="G40" s="59"/>
      <c r="H40" s="59"/>
      <c r="I40" s="8">
        <v>25</v>
      </c>
      <c r="J40" s="8">
        <v>100</v>
      </c>
    </row>
    <row r="41" spans="1:10" ht="15" customHeight="1" x14ac:dyDescent="0.2">
      <c r="A41" s="55" t="s">
        <v>51</v>
      </c>
      <c r="B41" s="55"/>
      <c r="C41" s="55"/>
      <c r="D41" s="55"/>
      <c r="E41" s="55"/>
      <c r="F41" s="55"/>
      <c r="G41" s="55"/>
      <c r="H41" s="55"/>
      <c r="I41" s="55"/>
      <c r="J41" s="55"/>
    </row>
    <row r="42" spans="1:10" ht="15" customHeight="1" x14ac:dyDescent="0.2">
      <c r="A42" s="77" t="s">
        <v>43</v>
      </c>
      <c r="B42" s="78"/>
      <c r="C42" s="9">
        <v>200</v>
      </c>
      <c r="D42" s="9">
        <v>250</v>
      </c>
      <c r="E42" s="9">
        <v>315</v>
      </c>
      <c r="F42" s="9">
        <v>400</v>
      </c>
      <c r="G42" s="9">
        <v>500</v>
      </c>
      <c r="H42" s="9">
        <v>630</v>
      </c>
      <c r="I42" s="9">
        <v>800</v>
      </c>
      <c r="J42" s="9">
        <v>1000</v>
      </c>
    </row>
    <row r="43" spans="1:10" ht="15" customHeight="1" x14ac:dyDescent="0.2">
      <c r="A43" s="68" t="s">
        <v>171</v>
      </c>
      <c r="B43" s="69"/>
      <c r="C43" s="10">
        <f>MROUND(190*$I$8*$J$8,5)</f>
        <v>305</v>
      </c>
      <c r="D43" s="10">
        <f t="shared" ref="D43:E44" si="4">MROUND(190*$I$8*$J$8,5)</f>
        <v>305</v>
      </c>
      <c r="E43" s="10">
        <f>MROUND(200*$I$8*$J$8,5)</f>
        <v>320</v>
      </c>
      <c r="F43" s="10">
        <f>MROUND(210*$I$8*$J$8,5)</f>
        <v>335</v>
      </c>
      <c r="G43" s="10">
        <f>MROUND(215*$I$8*$J$8,5)</f>
        <v>345</v>
      </c>
      <c r="H43" s="10">
        <f>MROUND(230*$I$8*$J$8,5)</f>
        <v>370</v>
      </c>
      <c r="I43" s="10">
        <f>MROUND(245*$I$8*$J$8,5)</f>
        <v>390</v>
      </c>
      <c r="J43" s="10">
        <f>MROUND(270*$I$8*$J$8,5)</f>
        <v>430</v>
      </c>
    </row>
    <row r="44" spans="1:10" ht="15" customHeight="1" x14ac:dyDescent="0.2">
      <c r="A44" s="68" t="s">
        <v>172</v>
      </c>
      <c r="B44" s="69"/>
      <c r="C44" s="10">
        <f>MROUND(185*$I$8*$J$8,5)</f>
        <v>295</v>
      </c>
      <c r="D44" s="10">
        <f>MROUND(185*$I$8*$J$8,5)</f>
        <v>295</v>
      </c>
      <c r="E44" s="10">
        <f t="shared" si="4"/>
        <v>305</v>
      </c>
      <c r="F44" s="10">
        <f>MROUND(200*$I$8*$J$8,5)</f>
        <v>320</v>
      </c>
      <c r="G44" s="10">
        <f>MROUND(210*$I$8*$J$8,5)</f>
        <v>335</v>
      </c>
      <c r="H44" s="10">
        <f>MROUND(215*$I$8*$J$8,5)</f>
        <v>345</v>
      </c>
      <c r="I44" s="10">
        <f>MROUND(230*$I$8*$J$8,5)</f>
        <v>370</v>
      </c>
      <c r="J44" s="10">
        <f>MROUND(240*$I$8*$J$8,5)</f>
        <v>385</v>
      </c>
    </row>
    <row r="45" spans="1:10" ht="15" customHeight="1" x14ac:dyDescent="0.2">
      <c r="A45" s="68" t="s">
        <v>173</v>
      </c>
      <c r="B45" s="69"/>
      <c r="C45" s="10">
        <f>C43+C44</f>
        <v>600</v>
      </c>
      <c r="D45" s="10">
        <f t="shared" ref="D45:J45" si="5">D43+D44</f>
        <v>600</v>
      </c>
      <c r="E45" s="10">
        <f t="shared" si="5"/>
        <v>625</v>
      </c>
      <c r="F45" s="10">
        <f t="shared" si="5"/>
        <v>655</v>
      </c>
      <c r="G45" s="10">
        <f t="shared" si="5"/>
        <v>680</v>
      </c>
      <c r="H45" s="10">
        <f t="shared" si="5"/>
        <v>715</v>
      </c>
      <c r="I45" s="10">
        <f t="shared" si="5"/>
        <v>760</v>
      </c>
      <c r="J45" s="10">
        <f t="shared" si="5"/>
        <v>815</v>
      </c>
    </row>
    <row r="46" spans="1:10" ht="1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ht="15" customHeight="1" x14ac:dyDescent="0.2">
      <c r="A47" s="3" t="s">
        <v>162</v>
      </c>
      <c r="B47" s="3"/>
      <c r="C47" s="3"/>
      <c r="D47" s="3"/>
      <c r="E47" s="3"/>
      <c r="F47" s="3"/>
      <c r="G47" s="3"/>
      <c r="H47" s="3"/>
      <c r="I47" s="3"/>
      <c r="J47" s="3"/>
    </row>
    <row r="48" spans="1:10" ht="15" customHeight="1" x14ac:dyDescent="0.2">
      <c r="A48" s="3" t="s">
        <v>163</v>
      </c>
      <c r="B48" s="3"/>
      <c r="C48" s="3"/>
      <c r="D48" s="3"/>
      <c r="E48" s="3"/>
      <c r="F48" s="3"/>
      <c r="G48" s="3"/>
      <c r="H48" s="3"/>
      <c r="I48" s="3"/>
      <c r="J48" s="3"/>
    </row>
    <row r="49" spans="1:10" ht="15" customHeight="1" x14ac:dyDescent="0.2">
      <c r="A49" s="3" t="s">
        <v>35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ht="15" customHeight="1" x14ac:dyDescent="0.2">
      <c r="A50" s="4" t="s">
        <v>33</v>
      </c>
      <c r="B50" s="3"/>
      <c r="C50" s="3"/>
      <c r="D50" s="3"/>
      <c r="E50" s="3"/>
      <c r="F50" s="3"/>
      <c r="G50" s="3"/>
      <c r="H50" s="3"/>
      <c r="I50" s="3"/>
      <c r="J50" s="3"/>
    </row>
    <row r="51" spans="1:10" ht="15" customHeight="1" thickBot="1" x14ac:dyDescent="0.25">
      <c r="G51" s="25"/>
      <c r="H51" s="25"/>
      <c r="I51" s="49" t="s">
        <v>2</v>
      </c>
      <c r="J51" s="49"/>
    </row>
    <row r="52" spans="1:10" ht="14.25" customHeight="1" x14ac:dyDescent="0.2">
      <c r="G52" s="25"/>
      <c r="H52" s="25"/>
      <c r="I52" s="63">
        <f>I2</f>
        <v>0</v>
      </c>
      <c r="J52" s="64"/>
    </row>
    <row r="53" spans="1:10" ht="15" thickBot="1" x14ac:dyDescent="0.25">
      <c r="I53" s="65"/>
      <c r="J53" s="66"/>
    </row>
    <row r="56" spans="1:10" ht="15" customHeight="1" x14ac:dyDescent="0.2">
      <c r="A56" s="50" t="s">
        <v>63</v>
      </c>
      <c r="B56" s="50"/>
      <c r="C56" s="50"/>
      <c r="D56" s="50"/>
      <c r="E56" s="50"/>
      <c r="F56" s="50"/>
      <c r="G56" s="50"/>
      <c r="H56" s="50"/>
    </row>
    <row r="57" spans="1:10" ht="15" customHeight="1" x14ac:dyDescent="0.2">
      <c r="A57" s="50"/>
      <c r="B57" s="50"/>
      <c r="C57" s="50"/>
      <c r="D57" s="50"/>
      <c r="E57" s="50"/>
      <c r="F57" s="50"/>
      <c r="G57" s="50"/>
      <c r="H57" s="50"/>
    </row>
    <row r="58" spans="1:10" ht="15" customHeight="1" x14ac:dyDescent="0.2">
      <c r="J58" s="23">
        <f>1-I52</f>
        <v>1</v>
      </c>
    </row>
    <row r="59" spans="1:10" ht="15" customHeight="1" x14ac:dyDescent="0.25">
      <c r="A59" s="59" t="s">
        <v>56</v>
      </c>
      <c r="B59" s="59"/>
      <c r="C59" s="59"/>
      <c r="D59" s="59"/>
      <c r="E59" s="59"/>
      <c r="F59" s="59"/>
      <c r="G59" s="59"/>
      <c r="H59" s="59"/>
      <c r="I59" s="67" t="s">
        <v>68</v>
      </c>
      <c r="J59" s="67"/>
    </row>
    <row r="60" spans="1:10" ht="15" customHeight="1" x14ac:dyDescent="0.2">
      <c r="A60" s="55" t="s">
        <v>46</v>
      </c>
      <c r="B60" s="55"/>
      <c r="C60" s="55"/>
      <c r="D60" s="55"/>
      <c r="E60" s="55"/>
      <c r="F60" s="55"/>
      <c r="G60" s="55"/>
      <c r="H60" s="55"/>
      <c r="I60" s="55"/>
      <c r="J60" s="55"/>
    </row>
    <row r="61" spans="1:10" ht="15" customHeight="1" x14ac:dyDescent="0.25">
      <c r="A61" s="50" t="s">
        <v>40</v>
      </c>
      <c r="B61" s="50"/>
      <c r="C61" s="62" t="s">
        <v>41</v>
      </c>
      <c r="D61" s="62"/>
      <c r="E61" s="62" t="s">
        <v>42</v>
      </c>
      <c r="F61" s="62"/>
      <c r="G61" s="62" t="s">
        <v>175</v>
      </c>
      <c r="H61" s="62"/>
      <c r="I61" s="62" t="s">
        <v>39</v>
      </c>
      <c r="J61" s="62"/>
    </row>
    <row r="62" spans="1:10" ht="15" customHeight="1" x14ac:dyDescent="0.2">
      <c r="A62" s="71" t="s">
        <v>66</v>
      </c>
      <c r="B62" s="72"/>
      <c r="C62" s="70">
        <v>200</v>
      </c>
      <c r="D62" s="70"/>
      <c r="E62" s="79">
        <v>1000</v>
      </c>
      <c r="F62" s="72"/>
      <c r="G62" s="57">
        <f>MROUND(950*$I$8,5)</f>
        <v>1520</v>
      </c>
      <c r="H62" s="57"/>
      <c r="I62" s="58">
        <f>ROUND(G62*$J$58,0)</f>
        <v>1520</v>
      </c>
      <c r="J62" s="58"/>
    </row>
    <row r="63" spans="1:10" ht="15" customHeight="1" x14ac:dyDescent="0.2">
      <c r="A63" s="73"/>
      <c r="B63" s="74"/>
      <c r="C63" s="70">
        <v>250</v>
      </c>
      <c r="D63" s="70"/>
      <c r="E63" s="73"/>
      <c r="F63" s="74"/>
      <c r="G63" s="57">
        <f>MROUND(1045*$I$8,5)</f>
        <v>1670</v>
      </c>
      <c r="H63" s="57"/>
      <c r="I63" s="58">
        <f t="shared" ref="I63:I88" si="6">ROUND(G63*$J$58,0)</f>
        <v>1670</v>
      </c>
      <c r="J63" s="58"/>
    </row>
    <row r="64" spans="1:10" ht="15" customHeight="1" x14ac:dyDescent="0.2">
      <c r="A64" s="73"/>
      <c r="B64" s="74"/>
      <c r="C64" s="70">
        <v>315</v>
      </c>
      <c r="D64" s="70"/>
      <c r="E64" s="73"/>
      <c r="F64" s="74"/>
      <c r="G64" s="57">
        <f>MROUND(1155*$I$8,5)</f>
        <v>1845</v>
      </c>
      <c r="H64" s="57"/>
      <c r="I64" s="58">
        <f t="shared" si="6"/>
        <v>1845</v>
      </c>
      <c r="J64" s="58"/>
    </row>
    <row r="65" spans="1:10" ht="15" customHeight="1" x14ac:dyDescent="0.2">
      <c r="A65" s="73"/>
      <c r="B65" s="74"/>
      <c r="C65" s="70">
        <v>400</v>
      </c>
      <c r="D65" s="70"/>
      <c r="E65" s="73"/>
      <c r="F65" s="74"/>
      <c r="G65" s="57">
        <f>MROUND(1340*$I$8,5)</f>
        <v>2140</v>
      </c>
      <c r="H65" s="57"/>
      <c r="I65" s="58">
        <f t="shared" si="6"/>
        <v>2140</v>
      </c>
      <c r="J65" s="58"/>
    </row>
    <row r="66" spans="1:10" ht="15" customHeight="1" x14ac:dyDescent="0.2">
      <c r="A66" s="73"/>
      <c r="B66" s="74"/>
      <c r="C66" s="70">
        <v>500</v>
      </c>
      <c r="D66" s="70"/>
      <c r="E66" s="73"/>
      <c r="F66" s="74"/>
      <c r="G66" s="57">
        <f>MROUND(1525*$I$8,5)</f>
        <v>2440</v>
      </c>
      <c r="H66" s="57"/>
      <c r="I66" s="58">
        <f t="shared" si="6"/>
        <v>2440</v>
      </c>
      <c r="J66" s="58"/>
    </row>
    <row r="67" spans="1:10" ht="15" customHeight="1" x14ac:dyDescent="0.2">
      <c r="A67" s="73"/>
      <c r="B67" s="74"/>
      <c r="C67" s="70">
        <v>630</v>
      </c>
      <c r="D67" s="70"/>
      <c r="E67" s="73"/>
      <c r="F67" s="74"/>
      <c r="G67" s="57">
        <f>MROUND(1835*$I$8,5)</f>
        <v>2935</v>
      </c>
      <c r="H67" s="57"/>
      <c r="I67" s="58">
        <f t="shared" si="6"/>
        <v>2935</v>
      </c>
      <c r="J67" s="58"/>
    </row>
    <row r="68" spans="1:10" ht="15" customHeight="1" x14ac:dyDescent="0.2">
      <c r="A68" s="73"/>
      <c r="B68" s="74"/>
      <c r="C68" s="70">
        <v>710</v>
      </c>
      <c r="D68" s="70"/>
      <c r="E68" s="73"/>
      <c r="F68" s="74"/>
      <c r="G68" s="57">
        <f>MROUND(2035*$I$8,5)</f>
        <v>3255</v>
      </c>
      <c r="H68" s="57"/>
      <c r="I68" s="58">
        <f t="shared" ref="I68" si="7">ROUND(G68*$J$58,0)</f>
        <v>3255</v>
      </c>
      <c r="J68" s="58"/>
    </row>
    <row r="69" spans="1:10" ht="15" customHeight="1" x14ac:dyDescent="0.2">
      <c r="A69" s="73"/>
      <c r="B69" s="74"/>
      <c r="C69" s="70">
        <v>800</v>
      </c>
      <c r="D69" s="70"/>
      <c r="E69" s="73"/>
      <c r="F69" s="74"/>
      <c r="G69" s="57">
        <f>MROUND(2205*$I$8,5)</f>
        <v>3525</v>
      </c>
      <c r="H69" s="57"/>
      <c r="I69" s="58">
        <f t="shared" si="6"/>
        <v>3525</v>
      </c>
      <c r="J69" s="58"/>
    </row>
    <row r="70" spans="1:10" ht="15" customHeight="1" x14ac:dyDescent="0.2">
      <c r="A70" s="80"/>
      <c r="B70" s="81"/>
      <c r="C70" s="70">
        <v>1000</v>
      </c>
      <c r="D70" s="70"/>
      <c r="E70" s="80"/>
      <c r="F70" s="81"/>
      <c r="G70" s="57">
        <f>MROUND(2620*$I$8,5)</f>
        <v>4190</v>
      </c>
      <c r="H70" s="57"/>
      <c r="I70" s="58">
        <f t="shared" si="6"/>
        <v>4190</v>
      </c>
      <c r="J70" s="58"/>
    </row>
    <row r="71" spans="1:10" ht="15" customHeight="1" x14ac:dyDescent="0.2">
      <c r="A71" s="71" t="s">
        <v>66</v>
      </c>
      <c r="B71" s="72"/>
      <c r="C71" s="70">
        <v>200</v>
      </c>
      <c r="D71" s="70"/>
      <c r="E71" s="79">
        <v>1500</v>
      </c>
      <c r="F71" s="72"/>
      <c r="G71" s="57">
        <f>MROUND(1425*$I$8,5)</f>
        <v>2280</v>
      </c>
      <c r="H71" s="57"/>
      <c r="I71" s="58">
        <f t="shared" si="6"/>
        <v>2280</v>
      </c>
      <c r="J71" s="58"/>
    </row>
    <row r="72" spans="1:10" ht="15" customHeight="1" x14ac:dyDescent="0.2">
      <c r="A72" s="73"/>
      <c r="B72" s="74"/>
      <c r="C72" s="70">
        <v>250</v>
      </c>
      <c r="D72" s="70"/>
      <c r="E72" s="73"/>
      <c r="F72" s="74"/>
      <c r="G72" s="57">
        <f>MROUND(1570*$I$8,5)</f>
        <v>2510</v>
      </c>
      <c r="H72" s="57"/>
      <c r="I72" s="58">
        <f t="shared" si="6"/>
        <v>2510</v>
      </c>
      <c r="J72" s="58"/>
    </row>
    <row r="73" spans="1:10" ht="15" customHeight="1" x14ac:dyDescent="0.2">
      <c r="A73" s="73"/>
      <c r="B73" s="74"/>
      <c r="C73" s="70">
        <v>315</v>
      </c>
      <c r="D73" s="70"/>
      <c r="E73" s="73"/>
      <c r="F73" s="74"/>
      <c r="G73" s="57">
        <f>MROUND(1735*$I$8,5)</f>
        <v>2775</v>
      </c>
      <c r="H73" s="57"/>
      <c r="I73" s="58">
        <f t="shared" si="6"/>
        <v>2775</v>
      </c>
      <c r="J73" s="58"/>
    </row>
    <row r="74" spans="1:10" ht="15" customHeight="1" x14ac:dyDescent="0.2">
      <c r="A74" s="73"/>
      <c r="B74" s="74"/>
      <c r="C74" s="70">
        <v>400</v>
      </c>
      <c r="D74" s="70"/>
      <c r="E74" s="73"/>
      <c r="F74" s="74"/>
      <c r="G74" s="57">
        <f>MROUND(2015*$I$8,5)</f>
        <v>3220</v>
      </c>
      <c r="H74" s="57"/>
      <c r="I74" s="58">
        <f t="shared" si="6"/>
        <v>3220</v>
      </c>
      <c r="J74" s="58"/>
    </row>
    <row r="75" spans="1:10" ht="15" customHeight="1" x14ac:dyDescent="0.2">
      <c r="A75" s="73"/>
      <c r="B75" s="74"/>
      <c r="C75" s="70">
        <v>500</v>
      </c>
      <c r="D75" s="70"/>
      <c r="E75" s="73"/>
      <c r="F75" s="74"/>
      <c r="G75" s="57">
        <f>MROUND(2160*$I$8,5)</f>
        <v>3455</v>
      </c>
      <c r="H75" s="57"/>
      <c r="I75" s="58">
        <f t="shared" si="6"/>
        <v>3455</v>
      </c>
      <c r="J75" s="58"/>
    </row>
    <row r="76" spans="1:10" ht="15" customHeight="1" x14ac:dyDescent="0.2">
      <c r="A76" s="73"/>
      <c r="B76" s="74"/>
      <c r="C76" s="70">
        <v>630</v>
      </c>
      <c r="D76" s="70"/>
      <c r="E76" s="73"/>
      <c r="F76" s="74"/>
      <c r="G76" s="57">
        <f>MROUND(2755*$I$8,5)</f>
        <v>4405</v>
      </c>
      <c r="H76" s="57"/>
      <c r="I76" s="58">
        <f t="shared" si="6"/>
        <v>4405</v>
      </c>
      <c r="J76" s="58"/>
    </row>
    <row r="77" spans="1:10" ht="15" customHeight="1" x14ac:dyDescent="0.2">
      <c r="A77" s="73"/>
      <c r="B77" s="74"/>
      <c r="C77" s="70">
        <v>710</v>
      </c>
      <c r="D77" s="70"/>
      <c r="E77" s="73"/>
      <c r="F77" s="74"/>
      <c r="G77" s="57">
        <f>MROUND(3065*$I$8,5)</f>
        <v>4900</v>
      </c>
      <c r="H77" s="57"/>
      <c r="I77" s="58">
        <f t="shared" ref="I77" si="8">ROUND(G77*$J$58,0)</f>
        <v>4900</v>
      </c>
      <c r="J77" s="58"/>
    </row>
    <row r="78" spans="1:10" ht="15" customHeight="1" x14ac:dyDescent="0.2">
      <c r="A78" s="73"/>
      <c r="B78" s="74"/>
      <c r="C78" s="70">
        <v>800</v>
      </c>
      <c r="D78" s="70"/>
      <c r="E78" s="73"/>
      <c r="F78" s="74"/>
      <c r="G78" s="57">
        <f>MROUND(3310*$I$8,5)</f>
        <v>5290</v>
      </c>
      <c r="H78" s="57"/>
      <c r="I78" s="58">
        <f t="shared" si="6"/>
        <v>5290</v>
      </c>
      <c r="J78" s="58"/>
    </row>
    <row r="79" spans="1:10" ht="15" customHeight="1" x14ac:dyDescent="0.2">
      <c r="A79" s="80"/>
      <c r="B79" s="81"/>
      <c r="C79" s="70">
        <v>1000</v>
      </c>
      <c r="D79" s="70"/>
      <c r="E79" s="80"/>
      <c r="F79" s="81"/>
      <c r="G79" s="57">
        <f>MROUND(3925*$I$8,5)</f>
        <v>6275</v>
      </c>
      <c r="H79" s="57"/>
      <c r="I79" s="58">
        <f t="shared" si="6"/>
        <v>6275</v>
      </c>
      <c r="J79" s="58"/>
    </row>
    <row r="80" spans="1:10" ht="15" customHeight="1" x14ac:dyDescent="0.2">
      <c r="A80" s="71" t="s">
        <v>66</v>
      </c>
      <c r="B80" s="72"/>
      <c r="C80" s="70">
        <v>200</v>
      </c>
      <c r="D80" s="70"/>
      <c r="E80" s="79">
        <v>2000</v>
      </c>
      <c r="F80" s="72"/>
      <c r="G80" s="57">
        <f>MROUND(1905*$I$8,5)</f>
        <v>3045</v>
      </c>
      <c r="H80" s="57"/>
      <c r="I80" s="58">
        <f t="shared" si="6"/>
        <v>3045</v>
      </c>
      <c r="J80" s="58"/>
    </row>
    <row r="81" spans="1:10" ht="15" customHeight="1" x14ac:dyDescent="0.2">
      <c r="A81" s="73"/>
      <c r="B81" s="74"/>
      <c r="C81" s="70">
        <v>250</v>
      </c>
      <c r="D81" s="70"/>
      <c r="E81" s="73"/>
      <c r="F81" s="74"/>
      <c r="G81" s="57">
        <f>MROUND(2090*$I$8,5)</f>
        <v>3340</v>
      </c>
      <c r="H81" s="57"/>
      <c r="I81" s="58">
        <f t="shared" si="6"/>
        <v>3340</v>
      </c>
      <c r="J81" s="58"/>
    </row>
    <row r="82" spans="1:10" ht="15" customHeight="1" x14ac:dyDescent="0.2">
      <c r="A82" s="73"/>
      <c r="B82" s="74"/>
      <c r="C82" s="70">
        <v>315</v>
      </c>
      <c r="D82" s="70"/>
      <c r="E82" s="73"/>
      <c r="F82" s="74"/>
      <c r="G82" s="57">
        <f>MROUND(2310*$I$8,5)</f>
        <v>3690</v>
      </c>
      <c r="H82" s="57"/>
      <c r="I82" s="58">
        <f t="shared" si="6"/>
        <v>3690</v>
      </c>
      <c r="J82" s="58"/>
    </row>
    <row r="83" spans="1:10" ht="15" customHeight="1" x14ac:dyDescent="0.2">
      <c r="A83" s="73"/>
      <c r="B83" s="74"/>
      <c r="C83" s="70">
        <v>400</v>
      </c>
      <c r="D83" s="70"/>
      <c r="E83" s="73"/>
      <c r="F83" s="74"/>
      <c r="G83" s="57">
        <f>MROUND(2685*$I$8,5)</f>
        <v>4290</v>
      </c>
      <c r="H83" s="57"/>
      <c r="I83" s="58">
        <f t="shared" si="6"/>
        <v>4290</v>
      </c>
      <c r="J83" s="58"/>
    </row>
    <row r="84" spans="1:10" ht="15" customHeight="1" x14ac:dyDescent="0.2">
      <c r="A84" s="73"/>
      <c r="B84" s="74"/>
      <c r="C84" s="70">
        <v>500</v>
      </c>
      <c r="D84" s="70"/>
      <c r="E84" s="73"/>
      <c r="F84" s="74"/>
      <c r="G84" s="57">
        <f>MROUND(3045*$I$8,5)</f>
        <v>4865</v>
      </c>
      <c r="H84" s="57"/>
      <c r="I84" s="58">
        <f t="shared" si="6"/>
        <v>4865</v>
      </c>
      <c r="J84" s="58"/>
    </row>
    <row r="85" spans="1:10" ht="15" customHeight="1" x14ac:dyDescent="0.2">
      <c r="A85" s="73"/>
      <c r="B85" s="74"/>
      <c r="C85" s="70">
        <v>630</v>
      </c>
      <c r="D85" s="70"/>
      <c r="E85" s="73"/>
      <c r="F85" s="74"/>
      <c r="G85" s="57">
        <f>MROUND(3675*$I$8,5)</f>
        <v>5875</v>
      </c>
      <c r="H85" s="57"/>
      <c r="I85" s="58">
        <f t="shared" si="6"/>
        <v>5875</v>
      </c>
      <c r="J85" s="58"/>
    </row>
    <row r="86" spans="1:10" ht="15" customHeight="1" x14ac:dyDescent="0.2">
      <c r="A86" s="73"/>
      <c r="B86" s="74"/>
      <c r="C86" s="70">
        <v>710</v>
      </c>
      <c r="D86" s="70"/>
      <c r="E86" s="73"/>
      <c r="F86" s="74"/>
      <c r="G86" s="57">
        <f>MROUND(4065*$I$8,5)</f>
        <v>6500</v>
      </c>
      <c r="H86" s="57"/>
      <c r="I86" s="58">
        <f t="shared" ref="I86" si="9">ROUND(G86*$J$58,0)</f>
        <v>6500</v>
      </c>
      <c r="J86" s="58"/>
    </row>
    <row r="87" spans="1:10" ht="15" customHeight="1" x14ac:dyDescent="0.2">
      <c r="A87" s="73"/>
      <c r="B87" s="74"/>
      <c r="C87" s="70">
        <v>800</v>
      </c>
      <c r="D87" s="70"/>
      <c r="E87" s="73"/>
      <c r="F87" s="74"/>
      <c r="G87" s="57">
        <f>MROUND(4410*$I$8,5)</f>
        <v>7050</v>
      </c>
      <c r="H87" s="57"/>
      <c r="I87" s="58">
        <f t="shared" si="6"/>
        <v>7050</v>
      </c>
      <c r="J87" s="58"/>
    </row>
    <row r="88" spans="1:10" ht="15" customHeight="1" x14ac:dyDescent="0.2">
      <c r="A88" s="80"/>
      <c r="B88" s="81"/>
      <c r="C88" s="70">
        <v>1000</v>
      </c>
      <c r="D88" s="70"/>
      <c r="E88" s="80"/>
      <c r="F88" s="81"/>
      <c r="G88" s="57">
        <f>MROUND(5235*$I$8,5)</f>
        <v>8370</v>
      </c>
      <c r="H88" s="57"/>
      <c r="I88" s="58">
        <f t="shared" si="6"/>
        <v>8370</v>
      </c>
      <c r="J88" s="58"/>
    </row>
    <row r="89" spans="1:10" ht="15" customHeight="1" x14ac:dyDescent="0.2">
      <c r="A89" s="5"/>
      <c r="B89" s="5"/>
      <c r="C89" s="5"/>
      <c r="D89" s="5"/>
      <c r="E89" s="5"/>
      <c r="F89" s="5"/>
      <c r="G89" s="6"/>
      <c r="H89" s="6"/>
      <c r="I89" s="7"/>
      <c r="J89" s="7"/>
    </row>
    <row r="90" spans="1:10" ht="15" customHeight="1" x14ac:dyDescent="0.25">
      <c r="A90" s="59" t="s">
        <v>61</v>
      </c>
      <c r="B90" s="59"/>
      <c r="C90" s="59"/>
      <c r="D90" s="59"/>
      <c r="E90" s="59"/>
      <c r="F90" s="59"/>
      <c r="G90" s="59"/>
      <c r="H90" s="59"/>
      <c r="I90" s="8">
        <v>25</v>
      </c>
      <c r="J90" s="8">
        <v>100</v>
      </c>
    </row>
    <row r="91" spans="1:10" ht="15" customHeight="1" x14ac:dyDescent="0.2">
      <c r="A91" s="55" t="s">
        <v>51</v>
      </c>
      <c r="B91" s="55"/>
      <c r="C91" s="55"/>
      <c r="D91" s="55"/>
      <c r="E91" s="55"/>
      <c r="F91" s="55"/>
      <c r="G91" s="55"/>
      <c r="H91" s="55"/>
      <c r="I91" s="55"/>
      <c r="J91" s="55"/>
    </row>
    <row r="92" spans="1:10" ht="15" customHeight="1" x14ac:dyDescent="0.2">
      <c r="A92" s="77" t="s">
        <v>43</v>
      </c>
      <c r="B92" s="78"/>
      <c r="C92" s="9">
        <v>200</v>
      </c>
      <c r="D92" s="9">
        <v>250</v>
      </c>
      <c r="E92" s="9">
        <v>315</v>
      </c>
      <c r="F92" s="9">
        <v>400</v>
      </c>
      <c r="G92" s="9">
        <v>500</v>
      </c>
      <c r="H92" s="9">
        <v>630</v>
      </c>
      <c r="I92" s="9">
        <v>800</v>
      </c>
      <c r="J92" s="9">
        <v>1000</v>
      </c>
    </row>
    <row r="93" spans="1:10" ht="15" customHeight="1" x14ac:dyDescent="0.2">
      <c r="A93" s="68" t="s">
        <v>171</v>
      </c>
      <c r="B93" s="69"/>
      <c r="C93" s="10">
        <f>MROUND(210*$I$8*$J$58,5)</f>
        <v>335</v>
      </c>
      <c r="D93" s="10">
        <f>MROUND(215*$I$8*$J$58,5)</f>
        <v>345</v>
      </c>
      <c r="E93" s="10">
        <f>MROUND(225*$I$8*$J$58,5)</f>
        <v>360</v>
      </c>
      <c r="F93" s="10">
        <f>MROUND(240*$I$8*$J$58,5)</f>
        <v>385</v>
      </c>
      <c r="G93" s="10">
        <f>MROUND(260*$I$8*$J$58,5)</f>
        <v>415</v>
      </c>
      <c r="H93" s="10">
        <f>MROUND(285*$I$8*$J$58,5)</f>
        <v>455</v>
      </c>
      <c r="I93" s="10">
        <f>MROUND(315*$I$8*$J$58,5)</f>
        <v>505</v>
      </c>
      <c r="J93" s="10">
        <f>MROUND(345*$I$8*$J$58,5)</f>
        <v>550</v>
      </c>
    </row>
    <row r="94" spans="1:10" ht="15" customHeight="1" x14ac:dyDescent="0.2">
      <c r="A94" s="68" t="s">
        <v>172</v>
      </c>
      <c r="B94" s="69"/>
      <c r="C94" s="10">
        <f>MROUND(190*$I$8*$J$58,5)</f>
        <v>305</v>
      </c>
      <c r="D94" s="10">
        <f>MROUND(200*$I$8*$J$58,5)</f>
        <v>320</v>
      </c>
      <c r="E94" s="10">
        <f>MROUND(210*$I$8*$J$58,5)</f>
        <v>335</v>
      </c>
      <c r="F94" s="10">
        <f>MROUND(225*$I$8*$J$58,5)</f>
        <v>360</v>
      </c>
      <c r="G94" s="10">
        <f>MROUND(240*$I$8*$J$58,5)</f>
        <v>385</v>
      </c>
      <c r="H94" s="10">
        <f>MROUND(255*$I$8*$J$58,5)</f>
        <v>410</v>
      </c>
      <c r="I94" s="10">
        <f>MROUND(280*$I$8*$J$58,5)</f>
        <v>450</v>
      </c>
      <c r="J94" s="10">
        <f>MROUND(300*$I$8*$J$58,5)</f>
        <v>480</v>
      </c>
    </row>
    <row r="95" spans="1:10" ht="15" customHeight="1" x14ac:dyDescent="0.2">
      <c r="A95" s="68" t="s">
        <v>173</v>
      </c>
      <c r="B95" s="69"/>
      <c r="C95" s="10">
        <f>C93+C94</f>
        <v>640</v>
      </c>
      <c r="D95" s="10">
        <f t="shared" ref="D95:J95" si="10">D93+D94</f>
        <v>665</v>
      </c>
      <c r="E95" s="10">
        <f t="shared" si="10"/>
        <v>695</v>
      </c>
      <c r="F95" s="10">
        <f t="shared" si="10"/>
        <v>745</v>
      </c>
      <c r="G95" s="10">
        <f t="shared" si="10"/>
        <v>800</v>
      </c>
      <c r="H95" s="10">
        <f t="shared" si="10"/>
        <v>865</v>
      </c>
      <c r="I95" s="10">
        <f t="shared" si="10"/>
        <v>955</v>
      </c>
      <c r="J95" s="10">
        <f t="shared" si="10"/>
        <v>1030</v>
      </c>
    </row>
    <row r="96" spans="1:10" ht="1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ht="15" customHeight="1" x14ac:dyDescent="0.2">
      <c r="A97" s="3" t="s">
        <v>162</v>
      </c>
      <c r="B97" s="3"/>
      <c r="C97" s="3"/>
      <c r="D97" s="3"/>
      <c r="E97" s="3"/>
      <c r="F97" s="3"/>
      <c r="G97" s="3"/>
      <c r="H97" s="3"/>
      <c r="I97" s="3"/>
      <c r="J97" s="3"/>
    </row>
    <row r="98" spans="1:10" ht="15" customHeight="1" x14ac:dyDescent="0.2">
      <c r="A98" s="3" t="s">
        <v>163</v>
      </c>
      <c r="B98" s="3"/>
      <c r="C98" s="3"/>
      <c r="D98" s="3"/>
      <c r="E98" s="3"/>
      <c r="F98" s="3"/>
      <c r="G98" s="3"/>
      <c r="H98" s="3"/>
      <c r="I98" s="3"/>
      <c r="J98" s="3"/>
    </row>
    <row r="99" spans="1:10" ht="15" customHeight="1" x14ac:dyDescent="0.2">
      <c r="A99" s="3" t="s">
        <v>35</v>
      </c>
      <c r="B99" s="3"/>
      <c r="C99" s="3"/>
      <c r="D99" s="3"/>
      <c r="E99" s="3"/>
      <c r="F99" s="3"/>
      <c r="G99" s="3"/>
      <c r="H99" s="3"/>
      <c r="I99" s="3"/>
      <c r="J99" s="3"/>
    </row>
    <row r="100" spans="1:10" ht="15" customHeight="1" x14ac:dyDescent="0.2">
      <c r="A100" s="4" t="s">
        <v>33</v>
      </c>
    </row>
    <row r="101" spans="1:10" ht="15" customHeight="1" thickBot="1" x14ac:dyDescent="0.25">
      <c r="G101" s="25"/>
      <c r="H101" s="25"/>
      <c r="I101" s="49" t="s">
        <v>2</v>
      </c>
      <c r="J101" s="49"/>
    </row>
    <row r="102" spans="1:10" ht="15" customHeight="1" x14ac:dyDescent="0.2">
      <c r="G102" s="25"/>
      <c r="H102" s="25"/>
      <c r="I102" s="63">
        <f>I2</f>
        <v>0</v>
      </c>
      <c r="J102" s="64"/>
    </row>
    <row r="103" spans="1:10" ht="15" customHeight="1" thickBot="1" x14ac:dyDescent="0.25">
      <c r="I103" s="65"/>
      <c r="J103" s="66"/>
    </row>
    <row r="104" spans="1:10" ht="15" customHeight="1" x14ac:dyDescent="0.2"/>
    <row r="105" spans="1:10" ht="15" customHeight="1" x14ac:dyDescent="0.2"/>
    <row r="106" spans="1:10" ht="15" customHeight="1" x14ac:dyDescent="0.2">
      <c r="A106" s="50" t="s">
        <v>63</v>
      </c>
      <c r="B106" s="50"/>
      <c r="C106" s="50"/>
      <c r="D106" s="50"/>
      <c r="E106" s="50"/>
      <c r="F106" s="50"/>
      <c r="G106" s="50"/>
      <c r="H106" s="50"/>
    </row>
    <row r="107" spans="1:10" ht="15" customHeight="1" x14ac:dyDescent="0.2">
      <c r="A107" s="50"/>
      <c r="B107" s="50"/>
      <c r="C107" s="50"/>
      <c r="D107" s="50"/>
      <c r="E107" s="50"/>
      <c r="F107" s="50"/>
      <c r="G107" s="50"/>
      <c r="H107" s="50"/>
    </row>
    <row r="108" spans="1:10" ht="15" customHeight="1" x14ac:dyDescent="0.2">
      <c r="J108" s="23">
        <f>1-I102</f>
        <v>1</v>
      </c>
    </row>
    <row r="109" spans="1:10" ht="15" customHeight="1" x14ac:dyDescent="0.25">
      <c r="A109" s="59" t="s">
        <v>56</v>
      </c>
      <c r="B109" s="59"/>
      <c r="C109" s="59"/>
      <c r="D109" s="59"/>
      <c r="E109" s="59"/>
      <c r="F109" s="59"/>
      <c r="G109" s="59"/>
      <c r="H109" s="59"/>
      <c r="I109" s="67" t="s">
        <v>68</v>
      </c>
      <c r="J109" s="67"/>
    </row>
    <row r="110" spans="1:10" ht="15" customHeight="1" x14ac:dyDescent="0.2">
      <c r="A110" s="55" t="s">
        <v>46</v>
      </c>
      <c r="B110" s="55"/>
      <c r="C110" s="55"/>
      <c r="D110" s="55"/>
      <c r="E110" s="55"/>
      <c r="F110" s="55"/>
      <c r="G110" s="55"/>
      <c r="H110" s="55"/>
      <c r="I110" s="55"/>
      <c r="J110" s="55"/>
    </row>
    <row r="111" spans="1:10" ht="15" customHeight="1" x14ac:dyDescent="0.25">
      <c r="A111" s="62" t="s">
        <v>40</v>
      </c>
      <c r="B111" s="62"/>
      <c r="C111" s="62" t="s">
        <v>41</v>
      </c>
      <c r="D111" s="62"/>
      <c r="E111" s="62" t="s">
        <v>42</v>
      </c>
      <c r="F111" s="62"/>
      <c r="G111" s="62" t="s">
        <v>175</v>
      </c>
      <c r="H111" s="62"/>
      <c r="I111" s="62" t="s">
        <v>39</v>
      </c>
      <c r="J111" s="62"/>
    </row>
    <row r="112" spans="1:10" ht="15" customHeight="1" x14ac:dyDescent="0.2">
      <c r="A112" s="71" t="s">
        <v>65</v>
      </c>
      <c r="B112" s="72"/>
      <c r="C112" s="70">
        <v>315</v>
      </c>
      <c r="D112" s="70"/>
      <c r="E112" s="73">
        <v>1000</v>
      </c>
      <c r="F112" s="74"/>
      <c r="G112" s="57">
        <f>MROUND(1375*$I$8,5)</f>
        <v>2200</v>
      </c>
      <c r="H112" s="57"/>
      <c r="I112" s="58">
        <f t="shared" ref="I112:I132" si="11">ROUND(G112*$J$108,0)</f>
        <v>2200</v>
      </c>
      <c r="J112" s="58"/>
    </row>
    <row r="113" spans="1:10" ht="15" customHeight="1" x14ac:dyDescent="0.2">
      <c r="A113" s="73"/>
      <c r="B113" s="74"/>
      <c r="C113" s="70">
        <v>400</v>
      </c>
      <c r="D113" s="70"/>
      <c r="E113" s="73"/>
      <c r="F113" s="74"/>
      <c r="G113" s="57">
        <f>MROUND(1575*$I$8,5)</f>
        <v>2520</v>
      </c>
      <c r="H113" s="57"/>
      <c r="I113" s="58">
        <f t="shared" si="11"/>
        <v>2520</v>
      </c>
      <c r="J113" s="58"/>
    </row>
    <row r="114" spans="1:10" ht="15" customHeight="1" x14ac:dyDescent="0.2">
      <c r="A114" s="73"/>
      <c r="B114" s="74"/>
      <c r="C114" s="70">
        <v>500</v>
      </c>
      <c r="D114" s="70"/>
      <c r="E114" s="73"/>
      <c r="F114" s="74"/>
      <c r="G114" s="57">
        <f>MROUND(1790*$I$8,5)</f>
        <v>2860</v>
      </c>
      <c r="H114" s="57"/>
      <c r="I114" s="58">
        <f t="shared" si="11"/>
        <v>2860</v>
      </c>
      <c r="J114" s="58"/>
    </row>
    <row r="115" spans="1:10" ht="15" customHeight="1" x14ac:dyDescent="0.2">
      <c r="A115" s="73"/>
      <c r="B115" s="74"/>
      <c r="C115" s="70">
        <v>630</v>
      </c>
      <c r="D115" s="70"/>
      <c r="E115" s="73"/>
      <c r="F115" s="74"/>
      <c r="G115" s="57">
        <f>MROUND(2125*$I$8,5)</f>
        <v>3395</v>
      </c>
      <c r="H115" s="57"/>
      <c r="I115" s="58">
        <f t="shared" si="11"/>
        <v>3395</v>
      </c>
      <c r="J115" s="58"/>
    </row>
    <row r="116" spans="1:10" ht="15" customHeight="1" x14ac:dyDescent="0.2">
      <c r="A116" s="73"/>
      <c r="B116" s="74"/>
      <c r="C116" s="70">
        <v>710</v>
      </c>
      <c r="D116" s="70"/>
      <c r="E116" s="73"/>
      <c r="F116" s="74"/>
      <c r="G116" s="57">
        <f>MROUND(2255*$I$8,5)</f>
        <v>3605</v>
      </c>
      <c r="H116" s="57"/>
      <c r="I116" s="58">
        <f t="shared" ref="I116" si="12">ROUND(G116*$J$108,0)</f>
        <v>3605</v>
      </c>
      <c r="J116" s="58"/>
    </row>
    <row r="117" spans="1:10" ht="15" customHeight="1" x14ac:dyDescent="0.2">
      <c r="A117" s="73"/>
      <c r="B117" s="74"/>
      <c r="C117" s="70">
        <v>800</v>
      </c>
      <c r="D117" s="70"/>
      <c r="E117" s="73"/>
      <c r="F117" s="74"/>
      <c r="G117" s="57">
        <f>MROUND(2525*$I$8,5)</f>
        <v>4035</v>
      </c>
      <c r="H117" s="57"/>
      <c r="I117" s="58">
        <f t="shared" si="11"/>
        <v>4035</v>
      </c>
      <c r="J117" s="58"/>
    </row>
    <row r="118" spans="1:10" ht="15" customHeight="1" x14ac:dyDescent="0.2">
      <c r="A118" s="73"/>
      <c r="B118" s="74"/>
      <c r="C118" s="70">
        <v>1000</v>
      </c>
      <c r="D118" s="70"/>
      <c r="E118" s="80"/>
      <c r="F118" s="81"/>
      <c r="G118" s="57">
        <f>MROUND(3005*$I$8,5)</f>
        <v>4805</v>
      </c>
      <c r="H118" s="57"/>
      <c r="I118" s="58">
        <f t="shared" si="11"/>
        <v>4805</v>
      </c>
      <c r="J118" s="58"/>
    </row>
    <row r="119" spans="1:10" ht="15" customHeight="1" x14ac:dyDescent="0.2">
      <c r="A119" s="71" t="s">
        <v>65</v>
      </c>
      <c r="B119" s="72"/>
      <c r="C119" s="70">
        <v>315</v>
      </c>
      <c r="D119" s="70"/>
      <c r="E119" s="73">
        <v>1500</v>
      </c>
      <c r="F119" s="74"/>
      <c r="G119" s="57">
        <f>MROUND(2065*$I$8,5)</f>
        <v>3300</v>
      </c>
      <c r="H119" s="57"/>
      <c r="I119" s="58">
        <f t="shared" si="11"/>
        <v>3300</v>
      </c>
      <c r="J119" s="58"/>
    </row>
    <row r="120" spans="1:10" ht="15" customHeight="1" x14ac:dyDescent="0.2">
      <c r="A120" s="73"/>
      <c r="B120" s="74"/>
      <c r="C120" s="70">
        <v>400</v>
      </c>
      <c r="D120" s="70"/>
      <c r="E120" s="73"/>
      <c r="F120" s="74"/>
      <c r="G120" s="57">
        <f>MROUND(2360*$I$8,5)</f>
        <v>3770</v>
      </c>
      <c r="H120" s="57"/>
      <c r="I120" s="58">
        <f t="shared" si="11"/>
        <v>3770</v>
      </c>
      <c r="J120" s="58"/>
    </row>
    <row r="121" spans="1:10" ht="15" customHeight="1" x14ac:dyDescent="0.2">
      <c r="A121" s="73"/>
      <c r="B121" s="74"/>
      <c r="C121" s="70">
        <v>500</v>
      </c>
      <c r="D121" s="70"/>
      <c r="E121" s="73"/>
      <c r="F121" s="74"/>
      <c r="G121" s="57">
        <f>MROUND(2685*$I$8,5)</f>
        <v>4290</v>
      </c>
      <c r="H121" s="57"/>
      <c r="I121" s="58">
        <f t="shared" si="11"/>
        <v>4290</v>
      </c>
      <c r="J121" s="58"/>
    </row>
    <row r="122" spans="1:10" ht="15" customHeight="1" x14ac:dyDescent="0.2">
      <c r="A122" s="73"/>
      <c r="B122" s="74"/>
      <c r="C122" s="70">
        <v>630</v>
      </c>
      <c r="D122" s="70"/>
      <c r="E122" s="73"/>
      <c r="F122" s="74"/>
      <c r="G122" s="57">
        <f>MROUND(3130*$I$8,5)</f>
        <v>5005</v>
      </c>
      <c r="H122" s="57"/>
      <c r="I122" s="58">
        <f t="shared" si="11"/>
        <v>5005</v>
      </c>
      <c r="J122" s="58"/>
    </row>
    <row r="123" spans="1:10" ht="15" customHeight="1" x14ac:dyDescent="0.2">
      <c r="A123" s="73"/>
      <c r="B123" s="74"/>
      <c r="C123" s="70">
        <v>710</v>
      </c>
      <c r="D123" s="70"/>
      <c r="E123" s="73"/>
      <c r="F123" s="74"/>
      <c r="G123" s="57">
        <f>MROUND(3560*$I$8,5)</f>
        <v>5690</v>
      </c>
      <c r="H123" s="57"/>
      <c r="I123" s="58">
        <f t="shared" ref="I123" si="13">ROUND(G123*$J$108,0)</f>
        <v>5690</v>
      </c>
      <c r="J123" s="58"/>
    </row>
    <row r="124" spans="1:10" ht="15" customHeight="1" x14ac:dyDescent="0.2">
      <c r="A124" s="73"/>
      <c r="B124" s="74"/>
      <c r="C124" s="70">
        <v>800</v>
      </c>
      <c r="D124" s="70"/>
      <c r="E124" s="73"/>
      <c r="F124" s="74"/>
      <c r="G124" s="57">
        <f>MROUND(3950*$I$8,5)</f>
        <v>6315</v>
      </c>
      <c r="H124" s="57"/>
      <c r="I124" s="58">
        <f t="shared" si="11"/>
        <v>6315</v>
      </c>
      <c r="J124" s="58"/>
    </row>
    <row r="125" spans="1:10" ht="15" customHeight="1" x14ac:dyDescent="0.2">
      <c r="A125" s="73"/>
      <c r="B125" s="74"/>
      <c r="C125" s="70">
        <v>1000</v>
      </c>
      <c r="D125" s="70"/>
      <c r="E125" s="80"/>
      <c r="F125" s="81"/>
      <c r="G125" s="57">
        <f>MROUND(4505*$I$8,5)</f>
        <v>7200</v>
      </c>
      <c r="H125" s="57"/>
      <c r="I125" s="58">
        <f t="shared" si="11"/>
        <v>7200</v>
      </c>
      <c r="J125" s="58"/>
    </row>
    <row r="126" spans="1:10" ht="15" customHeight="1" x14ac:dyDescent="0.2">
      <c r="A126" s="75" t="s">
        <v>65</v>
      </c>
      <c r="B126" s="76"/>
      <c r="C126" s="70">
        <v>315</v>
      </c>
      <c r="D126" s="70"/>
      <c r="E126" s="73">
        <v>2000</v>
      </c>
      <c r="F126" s="74"/>
      <c r="G126" s="57">
        <f>MROUND(2750*$I$8,5)</f>
        <v>4395</v>
      </c>
      <c r="H126" s="57"/>
      <c r="I126" s="58">
        <f t="shared" si="11"/>
        <v>4395</v>
      </c>
      <c r="J126" s="58"/>
    </row>
    <row r="127" spans="1:10" ht="15" customHeight="1" x14ac:dyDescent="0.2">
      <c r="A127" s="76"/>
      <c r="B127" s="76"/>
      <c r="C127" s="70">
        <v>400</v>
      </c>
      <c r="D127" s="70"/>
      <c r="E127" s="73"/>
      <c r="F127" s="74"/>
      <c r="G127" s="57">
        <f>MROUND(3145*$I$8,5)</f>
        <v>5025</v>
      </c>
      <c r="H127" s="57"/>
      <c r="I127" s="58">
        <f t="shared" si="11"/>
        <v>5025</v>
      </c>
      <c r="J127" s="58"/>
    </row>
    <row r="128" spans="1:10" ht="15" customHeight="1" x14ac:dyDescent="0.2">
      <c r="A128" s="76"/>
      <c r="B128" s="76"/>
      <c r="C128" s="70">
        <v>500</v>
      </c>
      <c r="D128" s="70"/>
      <c r="E128" s="73"/>
      <c r="F128" s="74"/>
      <c r="G128" s="57">
        <f>MROUND(3575*$I$8,5)</f>
        <v>5715</v>
      </c>
      <c r="H128" s="57"/>
      <c r="I128" s="58">
        <f t="shared" si="11"/>
        <v>5715</v>
      </c>
      <c r="J128" s="58"/>
    </row>
    <row r="129" spans="1:10" ht="15" customHeight="1" x14ac:dyDescent="0.2">
      <c r="A129" s="76"/>
      <c r="B129" s="76"/>
      <c r="C129" s="70">
        <v>630</v>
      </c>
      <c r="D129" s="70"/>
      <c r="E129" s="73"/>
      <c r="F129" s="74"/>
      <c r="G129" s="57">
        <f>MROUND(4245*$I$8,5)</f>
        <v>6785</v>
      </c>
      <c r="H129" s="57"/>
      <c r="I129" s="58">
        <f t="shared" si="11"/>
        <v>6785</v>
      </c>
      <c r="J129" s="58"/>
    </row>
    <row r="130" spans="1:10" ht="15" customHeight="1" x14ac:dyDescent="0.2">
      <c r="A130" s="76"/>
      <c r="B130" s="76"/>
      <c r="C130" s="70">
        <v>710</v>
      </c>
      <c r="D130" s="70"/>
      <c r="E130" s="73"/>
      <c r="F130" s="74"/>
      <c r="G130" s="57">
        <f>MROUND(4665*$I$8,5)</f>
        <v>7455</v>
      </c>
      <c r="H130" s="57"/>
      <c r="I130" s="58">
        <f t="shared" ref="I130" si="14">ROUND(G130*$J$108,0)</f>
        <v>7455</v>
      </c>
      <c r="J130" s="58"/>
    </row>
    <row r="131" spans="1:10" ht="15" customHeight="1" x14ac:dyDescent="0.2">
      <c r="A131" s="76"/>
      <c r="B131" s="76"/>
      <c r="C131" s="70">
        <v>800</v>
      </c>
      <c r="D131" s="70"/>
      <c r="E131" s="73"/>
      <c r="F131" s="74"/>
      <c r="G131" s="57">
        <f>MROUND(5050*$I$8,5)</f>
        <v>8070</v>
      </c>
      <c r="H131" s="57"/>
      <c r="I131" s="58">
        <f t="shared" si="11"/>
        <v>8070</v>
      </c>
      <c r="J131" s="58"/>
    </row>
    <row r="132" spans="1:10" ht="15" customHeight="1" x14ac:dyDescent="0.2">
      <c r="A132" s="76"/>
      <c r="B132" s="76"/>
      <c r="C132" s="70">
        <v>1000</v>
      </c>
      <c r="D132" s="70"/>
      <c r="E132" s="80"/>
      <c r="F132" s="81"/>
      <c r="G132" s="57">
        <f>MROUND(6005*$I$8,5)</f>
        <v>9600</v>
      </c>
      <c r="H132" s="57"/>
      <c r="I132" s="58">
        <f t="shared" si="11"/>
        <v>9600</v>
      </c>
      <c r="J132" s="58"/>
    </row>
    <row r="133" spans="1:10" ht="15" customHeight="1" x14ac:dyDescent="0.2">
      <c r="A133" s="12"/>
      <c r="B133" s="12"/>
      <c r="C133" s="13"/>
      <c r="D133" s="13"/>
      <c r="E133" s="12"/>
      <c r="F133" s="12"/>
      <c r="G133" s="6"/>
      <c r="H133" s="6"/>
      <c r="I133" s="7"/>
      <c r="J133" s="7"/>
    </row>
    <row r="134" spans="1:10" ht="15" customHeight="1" x14ac:dyDescent="0.2">
      <c r="A134" s="12"/>
      <c r="B134" s="12"/>
      <c r="C134" s="13"/>
      <c r="D134" s="13"/>
      <c r="E134" s="12"/>
      <c r="F134" s="12"/>
      <c r="G134" s="6"/>
      <c r="H134" s="6"/>
      <c r="I134" s="7"/>
      <c r="J134" s="7"/>
    </row>
    <row r="135" spans="1:10" ht="15" customHeight="1" x14ac:dyDescent="0.2">
      <c r="A135" s="12"/>
      <c r="B135" s="12"/>
      <c r="C135" s="13"/>
      <c r="D135" s="13"/>
      <c r="E135" s="12"/>
      <c r="F135" s="12"/>
      <c r="G135" s="6"/>
      <c r="H135" s="6"/>
      <c r="I135" s="7"/>
      <c r="J135" s="7"/>
    </row>
    <row r="136" spans="1:10" ht="15" customHeight="1" x14ac:dyDescent="0.2">
      <c r="A136" s="12"/>
      <c r="B136" s="12"/>
      <c r="C136" s="13"/>
      <c r="D136" s="13"/>
      <c r="E136" s="12"/>
      <c r="F136" s="12"/>
      <c r="G136" s="6"/>
      <c r="H136" s="6"/>
      <c r="I136" s="7"/>
      <c r="J136" s="7"/>
    </row>
    <row r="137" spans="1:10" ht="15" customHeight="1" x14ac:dyDescent="0.2">
      <c r="A137" s="12"/>
      <c r="B137" s="12"/>
      <c r="C137" s="13"/>
      <c r="D137" s="13"/>
      <c r="E137" s="12"/>
      <c r="F137" s="12"/>
      <c r="G137" s="6"/>
      <c r="H137" s="6"/>
      <c r="I137" s="7"/>
      <c r="J137" s="7"/>
    </row>
    <row r="138" spans="1:10" ht="15" customHeight="1" x14ac:dyDescent="0.2">
      <c r="A138" s="12"/>
      <c r="B138" s="12"/>
      <c r="C138" s="13"/>
      <c r="D138" s="13"/>
      <c r="E138" s="12"/>
      <c r="F138" s="12"/>
      <c r="G138" s="6"/>
      <c r="H138" s="6"/>
      <c r="I138" s="7"/>
      <c r="J138" s="7"/>
    </row>
    <row r="139" spans="1:10" ht="15" customHeight="1" x14ac:dyDescent="0.2">
      <c r="A139" s="5"/>
      <c r="B139" s="5"/>
      <c r="C139" s="5"/>
      <c r="D139" s="5"/>
      <c r="E139" s="5"/>
      <c r="F139" s="5"/>
      <c r="G139" s="6"/>
      <c r="H139" s="6"/>
      <c r="I139" s="7"/>
      <c r="J139" s="7"/>
    </row>
    <row r="140" spans="1:10" ht="15" customHeight="1" x14ac:dyDescent="0.25">
      <c r="A140" s="59" t="s">
        <v>64</v>
      </c>
      <c r="B140" s="59"/>
      <c r="C140" s="59"/>
      <c r="D140" s="59"/>
      <c r="E140" s="59"/>
      <c r="F140" s="59"/>
      <c r="G140" s="59"/>
      <c r="H140" s="59"/>
      <c r="I140" s="8">
        <v>25</v>
      </c>
      <c r="J140" s="8">
        <v>100</v>
      </c>
    </row>
    <row r="141" spans="1:10" ht="15" customHeight="1" x14ac:dyDescent="0.2">
      <c r="A141" s="55" t="s">
        <v>51</v>
      </c>
      <c r="B141" s="55"/>
      <c r="C141" s="55"/>
      <c r="D141" s="55"/>
      <c r="E141" s="55"/>
      <c r="F141" s="55"/>
      <c r="G141" s="55"/>
      <c r="H141" s="55"/>
      <c r="I141" s="55"/>
      <c r="J141" s="55"/>
    </row>
    <row r="142" spans="1:10" ht="15" customHeight="1" x14ac:dyDescent="0.2">
      <c r="A142" s="77" t="s">
        <v>43</v>
      </c>
      <c r="B142" s="78"/>
      <c r="C142" s="9">
        <v>200</v>
      </c>
      <c r="D142" s="9">
        <v>250</v>
      </c>
      <c r="E142" s="9">
        <v>315</v>
      </c>
      <c r="F142" s="9">
        <v>400</v>
      </c>
      <c r="G142" s="9">
        <v>500</v>
      </c>
      <c r="H142" s="9">
        <v>630</v>
      </c>
      <c r="I142" s="9">
        <v>800</v>
      </c>
      <c r="J142" s="9">
        <v>1000</v>
      </c>
    </row>
    <row r="143" spans="1:10" ht="15" customHeight="1" x14ac:dyDescent="0.2">
      <c r="A143" s="68" t="s">
        <v>171</v>
      </c>
      <c r="B143" s="69"/>
      <c r="C143" s="10">
        <f>MROUND(225*$I$8*$J$108,5)</f>
        <v>360</v>
      </c>
      <c r="D143" s="10">
        <f>MROUND(240*$I$8*$J$108,5)</f>
        <v>385</v>
      </c>
      <c r="E143" s="10">
        <f>MROUND(255*$I$8*$J$108,5)</f>
        <v>410</v>
      </c>
      <c r="F143" s="10">
        <f>MROUND(275*$I$8*$J$108,5)</f>
        <v>440</v>
      </c>
      <c r="G143" s="10">
        <f>MROUND(300*$I$8*$J$108,5)</f>
        <v>480</v>
      </c>
      <c r="H143" s="10">
        <f>MROUND(340*$I$8*$J$108,5)</f>
        <v>545</v>
      </c>
      <c r="I143" s="10">
        <f>MROUND(375*$I$8*$J$108,5)</f>
        <v>600</v>
      </c>
      <c r="J143" s="10">
        <f>MROUND(430*$I$8*$J$108,5)</f>
        <v>685</v>
      </c>
    </row>
    <row r="144" spans="1:10" ht="15" customHeight="1" x14ac:dyDescent="0.2">
      <c r="A144" s="68" t="s">
        <v>172</v>
      </c>
      <c r="B144" s="69"/>
      <c r="C144" s="10">
        <f>MROUND(210*$I$8*$J$108,5)</f>
        <v>335</v>
      </c>
      <c r="D144" s="10">
        <f>MROUND(215*$I$8*$J$108,5)</f>
        <v>345</v>
      </c>
      <c r="E144" s="10">
        <f>MROUND(230*$I$8*$J$108,5)</f>
        <v>370</v>
      </c>
      <c r="F144" s="10">
        <f>MROUND(245*$I$8*$J$108,5)</f>
        <v>390</v>
      </c>
      <c r="G144" s="10">
        <f>MROUND(260*$I$8*$J$108,5)</f>
        <v>415</v>
      </c>
      <c r="H144" s="10">
        <f>MROUND(290*$I$8*$J$108,5)</f>
        <v>465</v>
      </c>
      <c r="I144" s="10">
        <f>MROUND(325*$I$8*$J$108,5)</f>
        <v>520</v>
      </c>
      <c r="J144" s="10">
        <f>MROUND(360*$I$8*$J$108,5)</f>
        <v>575</v>
      </c>
    </row>
    <row r="145" spans="1:10" ht="15" customHeight="1" x14ac:dyDescent="0.2">
      <c r="A145" s="68" t="s">
        <v>173</v>
      </c>
      <c r="B145" s="69"/>
      <c r="C145" s="10">
        <f>C143+C144</f>
        <v>695</v>
      </c>
      <c r="D145" s="10">
        <f t="shared" ref="D145:J145" si="15">D143+D144</f>
        <v>730</v>
      </c>
      <c r="E145" s="10">
        <f t="shared" si="15"/>
        <v>780</v>
      </c>
      <c r="F145" s="10">
        <f t="shared" si="15"/>
        <v>830</v>
      </c>
      <c r="G145" s="10">
        <f t="shared" si="15"/>
        <v>895</v>
      </c>
      <c r="H145" s="10">
        <f t="shared" si="15"/>
        <v>1010</v>
      </c>
      <c r="I145" s="10">
        <f t="shared" si="15"/>
        <v>1120</v>
      </c>
      <c r="J145" s="10">
        <f t="shared" si="15"/>
        <v>1260</v>
      </c>
    </row>
    <row r="146" spans="1:10" ht="1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ht="15" customHeight="1" x14ac:dyDescent="0.2">
      <c r="A147" s="3" t="s">
        <v>162</v>
      </c>
      <c r="B147" s="3"/>
      <c r="C147" s="3"/>
      <c r="D147" s="3"/>
      <c r="E147" s="3"/>
      <c r="F147" s="3"/>
      <c r="G147" s="3"/>
      <c r="H147" s="3"/>
      <c r="I147" s="3"/>
      <c r="J147" s="3"/>
    </row>
    <row r="148" spans="1:10" ht="15" customHeight="1" x14ac:dyDescent="0.2">
      <c r="A148" s="3" t="s">
        <v>163</v>
      </c>
      <c r="B148" s="3"/>
      <c r="C148" s="3"/>
      <c r="D148" s="3"/>
      <c r="E148" s="3"/>
      <c r="F148" s="3"/>
      <c r="G148" s="3"/>
      <c r="H148" s="3"/>
      <c r="I148" s="3"/>
      <c r="J148" s="3"/>
    </row>
    <row r="149" spans="1:10" ht="15" customHeight="1" x14ac:dyDescent="0.2">
      <c r="A149" s="3" t="s">
        <v>35</v>
      </c>
      <c r="B149" s="3"/>
      <c r="C149" s="3"/>
      <c r="D149" s="3"/>
      <c r="E149" s="3"/>
      <c r="F149" s="3"/>
      <c r="G149" s="3"/>
      <c r="H149" s="3"/>
      <c r="I149" s="3"/>
      <c r="J149" s="3"/>
    </row>
    <row r="150" spans="1:10" ht="15" customHeight="1" x14ac:dyDescent="0.2">
      <c r="A150" s="4" t="s">
        <v>33</v>
      </c>
    </row>
    <row r="151" spans="1:10" ht="15" customHeight="1" x14ac:dyDescent="0.2"/>
    <row r="152" spans="1:10" ht="15" customHeight="1" x14ac:dyDescent="0.2"/>
    <row r="153" spans="1:10" ht="15" customHeight="1" x14ac:dyDescent="0.2"/>
    <row r="154" spans="1:10" ht="15" customHeight="1" x14ac:dyDescent="0.2"/>
    <row r="155" spans="1:10" ht="15" customHeight="1" x14ac:dyDescent="0.2"/>
    <row r="156" spans="1:10" ht="15" customHeight="1" x14ac:dyDescent="0.2"/>
    <row r="157" spans="1:10" ht="15" customHeight="1" x14ac:dyDescent="0.2"/>
    <row r="158" spans="1:10" ht="15" customHeight="1" x14ac:dyDescent="0.2"/>
    <row r="159" spans="1:10" ht="15" customHeight="1" x14ac:dyDescent="0.2"/>
    <row r="160" spans="1:1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</sheetData>
  <sheetProtection algorithmName="SHA-512" hashValue="+yDDYJ1lf1QGuzCyazSJvJ6aCy0A8hvz4JRD+hzqho7mEEHE79yvDLJrMVjaqpbksbX7pE7vw+grDqO3UXjH+w==" saltValue="ASjaY7f5np6FXTKM9WNhLg==" spinCount="100000" sheet="1" objects="1" scenarios="1"/>
  <mergeCells count="294">
    <mergeCell ref="I1:J1"/>
    <mergeCell ref="A6:H7"/>
    <mergeCell ref="I2:J3"/>
    <mergeCell ref="A9:H9"/>
    <mergeCell ref="I9:J9"/>
    <mergeCell ref="A10:J10"/>
    <mergeCell ref="A11:B11"/>
    <mergeCell ref="C11:D11"/>
    <mergeCell ref="E11:F11"/>
    <mergeCell ref="G11:H11"/>
    <mergeCell ref="I11:J11"/>
    <mergeCell ref="A12:B20"/>
    <mergeCell ref="C12:D12"/>
    <mergeCell ref="E12:F20"/>
    <mergeCell ref="G12:H12"/>
    <mergeCell ref="I12:J12"/>
    <mergeCell ref="C15:D15"/>
    <mergeCell ref="G15:H15"/>
    <mergeCell ref="I15:J15"/>
    <mergeCell ref="C16:D16"/>
    <mergeCell ref="G16:H16"/>
    <mergeCell ref="I16:J16"/>
    <mergeCell ref="C13:D13"/>
    <mergeCell ref="G13:H13"/>
    <mergeCell ref="I13:J13"/>
    <mergeCell ref="C14:D14"/>
    <mergeCell ref="G14:H14"/>
    <mergeCell ref="I14:J14"/>
    <mergeCell ref="C18:D18"/>
    <mergeCell ref="G18:H18"/>
    <mergeCell ref="I18:J18"/>
    <mergeCell ref="A21:B29"/>
    <mergeCell ref="C21:D21"/>
    <mergeCell ref="E21:F29"/>
    <mergeCell ref="G21:H21"/>
    <mergeCell ref="I21:J21"/>
    <mergeCell ref="C22:D22"/>
    <mergeCell ref="G22:H22"/>
    <mergeCell ref="C17:D17"/>
    <mergeCell ref="G17:H17"/>
    <mergeCell ref="I17:J17"/>
    <mergeCell ref="C19:D19"/>
    <mergeCell ref="G19:H19"/>
    <mergeCell ref="I19:J19"/>
    <mergeCell ref="I22:J22"/>
    <mergeCell ref="C23:D23"/>
    <mergeCell ref="G23:H23"/>
    <mergeCell ref="I23:J23"/>
    <mergeCell ref="C24:D24"/>
    <mergeCell ref="G24:H24"/>
    <mergeCell ref="I24:J24"/>
    <mergeCell ref="C20:D20"/>
    <mergeCell ref="G20:H20"/>
    <mergeCell ref="I20:J20"/>
    <mergeCell ref="C28:D28"/>
    <mergeCell ref="G28:H28"/>
    <mergeCell ref="I28:J28"/>
    <mergeCell ref="C29:D29"/>
    <mergeCell ref="G29:H29"/>
    <mergeCell ref="I29:J29"/>
    <mergeCell ref="C25:D25"/>
    <mergeCell ref="G25:H25"/>
    <mergeCell ref="I25:J25"/>
    <mergeCell ref="C26:D26"/>
    <mergeCell ref="G26:H26"/>
    <mergeCell ref="I26:J26"/>
    <mergeCell ref="C27:D27"/>
    <mergeCell ref="G27:H27"/>
    <mergeCell ref="I27:J27"/>
    <mergeCell ref="I34:J34"/>
    <mergeCell ref="E30:F38"/>
    <mergeCell ref="G30:H30"/>
    <mergeCell ref="I30:J30"/>
    <mergeCell ref="C31:D31"/>
    <mergeCell ref="G31:H31"/>
    <mergeCell ref="I31:J31"/>
    <mergeCell ref="C32:D32"/>
    <mergeCell ref="G32:H32"/>
    <mergeCell ref="C36:D36"/>
    <mergeCell ref="G36:H36"/>
    <mergeCell ref="I36:J36"/>
    <mergeCell ref="A42:B42"/>
    <mergeCell ref="A43:B43"/>
    <mergeCell ref="A44:B44"/>
    <mergeCell ref="A45:B45"/>
    <mergeCell ref="I51:J51"/>
    <mergeCell ref="C38:D38"/>
    <mergeCell ref="G38:H38"/>
    <mergeCell ref="I38:J38"/>
    <mergeCell ref="A40:H40"/>
    <mergeCell ref="A41:J41"/>
    <mergeCell ref="A30:B38"/>
    <mergeCell ref="C30:D30"/>
    <mergeCell ref="C35:D35"/>
    <mergeCell ref="G35:H35"/>
    <mergeCell ref="I35:J35"/>
    <mergeCell ref="C37:D37"/>
    <mergeCell ref="G37:H37"/>
    <mergeCell ref="I37:J37"/>
    <mergeCell ref="I32:J32"/>
    <mergeCell ref="C33:D33"/>
    <mergeCell ref="G33:H33"/>
    <mergeCell ref="I33:J33"/>
    <mergeCell ref="C34:D34"/>
    <mergeCell ref="G34:H34"/>
    <mergeCell ref="A56:H57"/>
    <mergeCell ref="I52:J53"/>
    <mergeCell ref="A59:H59"/>
    <mergeCell ref="I59:J59"/>
    <mergeCell ref="A60:J60"/>
    <mergeCell ref="A61:B61"/>
    <mergeCell ref="C61:D61"/>
    <mergeCell ref="E61:F61"/>
    <mergeCell ref="G61:H61"/>
    <mergeCell ref="I61:J61"/>
    <mergeCell ref="I64:J64"/>
    <mergeCell ref="C65:D65"/>
    <mergeCell ref="G65:H65"/>
    <mergeCell ref="I65:J65"/>
    <mergeCell ref="C66:D66"/>
    <mergeCell ref="G66:H66"/>
    <mergeCell ref="I66:J66"/>
    <mergeCell ref="A62:B70"/>
    <mergeCell ref="C62:D62"/>
    <mergeCell ref="E62:F70"/>
    <mergeCell ref="G62:H62"/>
    <mergeCell ref="I62:J62"/>
    <mergeCell ref="C63:D63"/>
    <mergeCell ref="G63:H63"/>
    <mergeCell ref="I63:J63"/>
    <mergeCell ref="C64:D64"/>
    <mergeCell ref="G64:H64"/>
    <mergeCell ref="C68:D68"/>
    <mergeCell ref="G68:H68"/>
    <mergeCell ref="I68:J68"/>
    <mergeCell ref="A71:B79"/>
    <mergeCell ref="C71:D71"/>
    <mergeCell ref="E71:F79"/>
    <mergeCell ref="G71:H71"/>
    <mergeCell ref="I71:J71"/>
    <mergeCell ref="C72:D72"/>
    <mergeCell ref="G72:H72"/>
    <mergeCell ref="C67:D67"/>
    <mergeCell ref="G67:H67"/>
    <mergeCell ref="I67:J67"/>
    <mergeCell ref="C69:D69"/>
    <mergeCell ref="G69:H69"/>
    <mergeCell ref="I69:J69"/>
    <mergeCell ref="I72:J72"/>
    <mergeCell ref="C73:D73"/>
    <mergeCell ref="G73:H73"/>
    <mergeCell ref="I73:J73"/>
    <mergeCell ref="C74:D74"/>
    <mergeCell ref="G74:H74"/>
    <mergeCell ref="I74:J74"/>
    <mergeCell ref="C70:D70"/>
    <mergeCell ref="G70:H70"/>
    <mergeCell ref="I70:J70"/>
    <mergeCell ref="C78:D78"/>
    <mergeCell ref="G78:H78"/>
    <mergeCell ref="I78:J78"/>
    <mergeCell ref="C79:D79"/>
    <mergeCell ref="G79:H79"/>
    <mergeCell ref="I79:J79"/>
    <mergeCell ref="C75:D75"/>
    <mergeCell ref="G75:H75"/>
    <mergeCell ref="I75:J75"/>
    <mergeCell ref="C76:D76"/>
    <mergeCell ref="G76:H76"/>
    <mergeCell ref="I76:J76"/>
    <mergeCell ref="C77:D77"/>
    <mergeCell ref="G77:H77"/>
    <mergeCell ref="I77:J77"/>
    <mergeCell ref="I84:J84"/>
    <mergeCell ref="E80:F88"/>
    <mergeCell ref="G80:H80"/>
    <mergeCell ref="I80:J80"/>
    <mergeCell ref="C81:D81"/>
    <mergeCell ref="G81:H81"/>
    <mergeCell ref="I81:J81"/>
    <mergeCell ref="C82:D82"/>
    <mergeCell ref="G82:H82"/>
    <mergeCell ref="C86:D86"/>
    <mergeCell ref="G86:H86"/>
    <mergeCell ref="I86:J86"/>
    <mergeCell ref="A92:B92"/>
    <mergeCell ref="A93:B93"/>
    <mergeCell ref="A94:B94"/>
    <mergeCell ref="A95:B95"/>
    <mergeCell ref="I101:J101"/>
    <mergeCell ref="C88:D88"/>
    <mergeCell ref="G88:H88"/>
    <mergeCell ref="I88:J88"/>
    <mergeCell ref="A90:H90"/>
    <mergeCell ref="A91:J91"/>
    <mergeCell ref="A80:B88"/>
    <mergeCell ref="C80:D80"/>
    <mergeCell ref="C85:D85"/>
    <mergeCell ref="G85:H85"/>
    <mergeCell ref="I85:J85"/>
    <mergeCell ref="C87:D87"/>
    <mergeCell ref="G87:H87"/>
    <mergeCell ref="I87:J87"/>
    <mergeCell ref="I82:J82"/>
    <mergeCell ref="C83:D83"/>
    <mergeCell ref="G83:H83"/>
    <mergeCell ref="I83:J83"/>
    <mergeCell ref="C84:D84"/>
    <mergeCell ref="G84:H84"/>
    <mergeCell ref="A106:H107"/>
    <mergeCell ref="I102:J103"/>
    <mergeCell ref="A109:H109"/>
    <mergeCell ref="I109:J109"/>
    <mergeCell ref="A110:J110"/>
    <mergeCell ref="A111:B111"/>
    <mergeCell ref="C111:D111"/>
    <mergeCell ref="E111:F111"/>
    <mergeCell ref="G111:H111"/>
    <mergeCell ref="I111:J111"/>
    <mergeCell ref="I112:J112"/>
    <mergeCell ref="C113:D113"/>
    <mergeCell ref="G113:H113"/>
    <mergeCell ref="I113:J113"/>
    <mergeCell ref="C114:D114"/>
    <mergeCell ref="G114:H114"/>
    <mergeCell ref="I114:J114"/>
    <mergeCell ref="A112:B118"/>
    <mergeCell ref="E112:F118"/>
    <mergeCell ref="C112:D112"/>
    <mergeCell ref="G112:H112"/>
    <mergeCell ref="C116:D116"/>
    <mergeCell ref="G116:H116"/>
    <mergeCell ref="I116:J116"/>
    <mergeCell ref="A119:B125"/>
    <mergeCell ref="E119:F125"/>
    <mergeCell ref="C115:D115"/>
    <mergeCell ref="G115:H115"/>
    <mergeCell ref="I115:J115"/>
    <mergeCell ref="C117:D117"/>
    <mergeCell ref="G117:H117"/>
    <mergeCell ref="I117:J117"/>
    <mergeCell ref="C119:D119"/>
    <mergeCell ref="G119:H119"/>
    <mergeCell ref="I119:J119"/>
    <mergeCell ref="C120:D120"/>
    <mergeCell ref="G120:H120"/>
    <mergeCell ref="I120:J120"/>
    <mergeCell ref="C118:D118"/>
    <mergeCell ref="G118:H118"/>
    <mergeCell ref="I118:J118"/>
    <mergeCell ref="C124:D124"/>
    <mergeCell ref="G124:H124"/>
    <mergeCell ref="I124:J124"/>
    <mergeCell ref="C125:D125"/>
    <mergeCell ref="G125:H125"/>
    <mergeCell ref="I125:J125"/>
    <mergeCell ref="C121:D121"/>
    <mergeCell ref="G121:H121"/>
    <mergeCell ref="I121:J121"/>
    <mergeCell ref="C122:D122"/>
    <mergeCell ref="G122:H122"/>
    <mergeCell ref="I122:J122"/>
    <mergeCell ref="C123:D123"/>
    <mergeCell ref="G123:H123"/>
    <mergeCell ref="I123:J123"/>
    <mergeCell ref="G128:H128"/>
    <mergeCell ref="I128:J128"/>
    <mergeCell ref="E126:F132"/>
    <mergeCell ref="C126:D126"/>
    <mergeCell ref="G126:H126"/>
    <mergeCell ref="C130:D130"/>
    <mergeCell ref="G130:H130"/>
    <mergeCell ref="I130:J130"/>
    <mergeCell ref="A142:B142"/>
    <mergeCell ref="A143:B143"/>
    <mergeCell ref="A144:B144"/>
    <mergeCell ref="A145:B145"/>
    <mergeCell ref="C132:D132"/>
    <mergeCell ref="G132:H132"/>
    <mergeCell ref="I132:J132"/>
    <mergeCell ref="A140:H140"/>
    <mergeCell ref="A141:J141"/>
    <mergeCell ref="A126:B132"/>
    <mergeCell ref="C129:D129"/>
    <mergeCell ref="G129:H129"/>
    <mergeCell ref="I129:J129"/>
    <mergeCell ref="C131:D131"/>
    <mergeCell ref="G131:H131"/>
    <mergeCell ref="I131:J131"/>
    <mergeCell ref="I126:J126"/>
    <mergeCell ref="C127:D127"/>
    <mergeCell ref="G127:H127"/>
    <mergeCell ref="I127:J127"/>
    <mergeCell ref="C128:D128"/>
  </mergeCells>
  <printOptions horizontalCentered="1"/>
  <pageMargins left="0.59055118110236227" right="0.59055118110236227" top="0.78740157480314965" bottom="0.78740157480314965" header="0.39370078740157483" footer="0.39370078740157483"/>
  <pageSetup paperSize="9" scale="93" orientation="portrait" r:id="rId1"/>
  <headerFooter>
    <oddFooter xml:space="preserve">&amp;L&amp;"Arial,Obyčejné"&amp;10   ITS097-01, © Greif-akustika, s.r.o.&amp;R&amp;"Arial,Obyčejné"&amp;10List &amp;P/&amp;N    </oddFooter>
  </headerFooter>
  <rowBreaks count="2" manualBreakCount="2">
    <brk id="50" max="9" man="1"/>
    <brk id="100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theme="5" tint="-0.249977111117893"/>
  </sheetPr>
  <dimension ref="A1:M2000"/>
  <sheetViews>
    <sheetView showGridLines="0" view="pageBreakPreview" zoomScale="120" zoomScaleNormal="120" zoomScaleSheetLayoutView="120" workbookViewId="0">
      <selection activeCell="I2" sqref="I2:J3"/>
    </sheetView>
  </sheetViews>
  <sheetFormatPr defaultColWidth="9" defaultRowHeight="14.25" x14ac:dyDescent="0.2"/>
  <cols>
    <col min="1" max="25" width="8.625" style="1" customWidth="1"/>
    <col min="26" max="16384" width="9" style="1"/>
  </cols>
  <sheetData>
    <row r="1" spans="1:10" ht="15" customHeight="1" thickBot="1" x14ac:dyDescent="0.25">
      <c r="I1" s="49" t="s">
        <v>2</v>
      </c>
      <c r="J1" s="49"/>
    </row>
    <row r="2" spans="1:10" ht="15" customHeight="1" x14ac:dyDescent="0.2">
      <c r="I2" s="63">
        <f>'Buňky G-GE-GH'!I2:J3</f>
        <v>0</v>
      </c>
      <c r="J2" s="64"/>
    </row>
    <row r="3" spans="1:10" ht="15" customHeight="1" thickBot="1" x14ac:dyDescent="0.25">
      <c r="I3" s="65"/>
      <c r="J3" s="66"/>
    </row>
    <row r="4" spans="1:10" ht="15" customHeight="1" x14ac:dyDescent="0.2">
      <c r="I4" s="23">
        <f>1*1.03*1.03*1.03*1.2*1.15*1.06</f>
        <v>1.5984410555999999</v>
      </c>
      <c r="J4" s="23">
        <f>1-I2</f>
        <v>1</v>
      </c>
    </row>
    <row r="5" spans="1:10" ht="15" customHeight="1" x14ac:dyDescent="0.2"/>
    <row r="6" spans="1:10" ht="15" customHeight="1" x14ac:dyDescent="0.2">
      <c r="A6" s="50" t="s">
        <v>69</v>
      </c>
      <c r="B6" s="50"/>
      <c r="C6" s="50"/>
      <c r="D6" s="50"/>
      <c r="E6" s="50"/>
      <c r="F6" s="50"/>
      <c r="G6" s="50"/>
      <c r="H6" s="50"/>
    </row>
    <row r="7" spans="1:10" ht="15" customHeight="1" x14ac:dyDescent="0.2">
      <c r="A7" s="50"/>
      <c r="B7" s="50"/>
      <c r="C7" s="50"/>
      <c r="D7" s="50"/>
      <c r="E7" s="50"/>
      <c r="F7" s="50"/>
      <c r="G7" s="50"/>
      <c r="H7" s="50"/>
    </row>
    <row r="8" spans="1:10" ht="15" customHeight="1" x14ac:dyDescent="0.2"/>
    <row r="9" spans="1:10" ht="15" customHeight="1" x14ac:dyDescent="0.25">
      <c r="A9" s="59" t="s">
        <v>71</v>
      </c>
      <c r="B9" s="59"/>
      <c r="C9" s="59"/>
      <c r="D9" s="59"/>
      <c r="E9" s="59"/>
      <c r="F9" s="59"/>
      <c r="G9" s="59"/>
      <c r="H9" s="59"/>
      <c r="I9" s="67" t="s">
        <v>70</v>
      </c>
      <c r="J9" s="67"/>
    </row>
    <row r="10" spans="1:10" ht="15" customHeight="1" x14ac:dyDescent="0.2">
      <c r="A10" s="55" t="s">
        <v>46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0" ht="15" customHeight="1" x14ac:dyDescent="0.25">
      <c r="A11" s="62" t="s">
        <v>4</v>
      </c>
      <c r="B11" s="62"/>
      <c r="C11" s="62" t="s">
        <v>72</v>
      </c>
      <c r="D11" s="62"/>
      <c r="E11" s="62" t="s">
        <v>42</v>
      </c>
      <c r="F11" s="62"/>
      <c r="G11" s="62" t="s">
        <v>175</v>
      </c>
      <c r="H11" s="62"/>
      <c r="I11" s="62" t="s">
        <v>39</v>
      </c>
      <c r="J11" s="62"/>
    </row>
    <row r="12" spans="1:10" ht="15" customHeight="1" x14ac:dyDescent="0.2">
      <c r="A12" s="75" t="s">
        <v>95</v>
      </c>
      <c r="B12" s="75"/>
      <c r="C12" s="84" t="s">
        <v>89</v>
      </c>
      <c r="D12" s="85"/>
      <c r="E12" s="76">
        <v>1000</v>
      </c>
      <c r="F12" s="76"/>
      <c r="G12" s="57">
        <f>MROUND(2125*$I$4,5)</f>
        <v>3395</v>
      </c>
      <c r="H12" s="57"/>
      <c r="I12" s="58">
        <f t="shared" ref="I12:I34" si="0">ROUND(G12*$J$4,0)</f>
        <v>3395</v>
      </c>
      <c r="J12" s="58"/>
    </row>
    <row r="13" spans="1:10" ht="15" customHeight="1" x14ac:dyDescent="0.2">
      <c r="A13" s="75"/>
      <c r="B13" s="75"/>
      <c r="C13" s="84" t="s">
        <v>73</v>
      </c>
      <c r="D13" s="85"/>
      <c r="E13" s="76"/>
      <c r="F13" s="76"/>
      <c r="G13" s="57">
        <f>MROUND(2235*$I$4,5)</f>
        <v>3575</v>
      </c>
      <c r="H13" s="57"/>
      <c r="I13" s="58">
        <f t="shared" si="0"/>
        <v>3575</v>
      </c>
      <c r="J13" s="58"/>
    </row>
    <row r="14" spans="1:10" ht="15" customHeight="1" x14ac:dyDescent="0.2">
      <c r="A14" s="75"/>
      <c r="B14" s="75"/>
      <c r="C14" s="84" t="s">
        <v>90</v>
      </c>
      <c r="D14" s="85"/>
      <c r="E14" s="76"/>
      <c r="F14" s="76"/>
      <c r="G14" s="57">
        <f>MROUND(2525*$I$4,5)</f>
        <v>4035</v>
      </c>
      <c r="H14" s="57"/>
      <c r="I14" s="58">
        <f t="shared" si="0"/>
        <v>4035</v>
      </c>
      <c r="J14" s="58"/>
    </row>
    <row r="15" spans="1:10" ht="15" customHeight="1" x14ac:dyDescent="0.2">
      <c r="A15" s="75"/>
      <c r="B15" s="75"/>
      <c r="C15" s="84" t="s">
        <v>91</v>
      </c>
      <c r="D15" s="85"/>
      <c r="E15" s="76"/>
      <c r="F15" s="76"/>
      <c r="G15" s="57">
        <f>MROUND(2680*$I$4,5)</f>
        <v>4285</v>
      </c>
      <c r="H15" s="57"/>
      <c r="I15" s="58">
        <f t="shared" si="0"/>
        <v>4285</v>
      </c>
      <c r="J15" s="58"/>
    </row>
    <row r="16" spans="1:10" ht="15" customHeight="1" x14ac:dyDescent="0.2">
      <c r="A16" s="75"/>
      <c r="B16" s="75"/>
      <c r="C16" s="84" t="s">
        <v>92</v>
      </c>
      <c r="D16" s="85"/>
      <c r="E16" s="76"/>
      <c r="F16" s="76"/>
      <c r="G16" s="57">
        <f>MROUND(2810*$I$4,5)</f>
        <v>4490</v>
      </c>
      <c r="H16" s="57"/>
      <c r="I16" s="58">
        <f t="shared" si="0"/>
        <v>4490</v>
      </c>
      <c r="J16" s="58"/>
    </row>
    <row r="17" spans="1:10" ht="15" customHeight="1" x14ac:dyDescent="0.2">
      <c r="A17" s="75"/>
      <c r="B17" s="75"/>
      <c r="C17" s="84" t="s">
        <v>93</v>
      </c>
      <c r="D17" s="85"/>
      <c r="E17" s="76"/>
      <c r="F17" s="76"/>
      <c r="G17" s="57">
        <f>MROUND(3075*$I$4,5)</f>
        <v>4915</v>
      </c>
      <c r="H17" s="57"/>
      <c r="I17" s="58">
        <f t="shared" si="0"/>
        <v>4915</v>
      </c>
      <c r="J17" s="58"/>
    </row>
    <row r="18" spans="1:10" ht="15" customHeight="1" x14ac:dyDescent="0.2">
      <c r="A18" s="75"/>
      <c r="B18" s="75"/>
      <c r="C18" s="84" t="s">
        <v>74</v>
      </c>
      <c r="D18" s="85"/>
      <c r="E18" s="76"/>
      <c r="F18" s="76"/>
      <c r="G18" s="57">
        <f>MROUND(3295*$I$4,5)</f>
        <v>5265</v>
      </c>
      <c r="H18" s="57"/>
      <c r="I18" s="58">
        <f t="shared" si="0"/>
        <v>5265</v>
      </c>
      <c r="J18" s="58"/>
    </row>
    <row r="19" spans="1:10" ht="15" customHeight="1" x14ac:dyDescent="0.2">
      <c r="A19" s="75"/>
      <c r="B19" s="75"/>
      <c r="C19" s="84" t="s">
        <v>75</v>
      </c>
      <c r="D19" s="85"/>
      <c r="E19" s="76"/>
      <c r="F19" s="76"/>
      <c r="G19" s="57">
        <f>MROUND(3625*$I$4,5)</f>
        <v>5795</v>
      </c>
      <c r="H19" s="57"/>
      <c r="I19" s="58">
        <f t="shared" si="0"/>
        <v>5795</v>
      </c>
      <c r="J19" s="58"/>
    </row>
    <row r="20" spans="1:10" ht="15" customHeight="1" x14ac:dyDescent="0.2">
      <c r="A20" s="75"/>
      <c r="B20" s="75"/>
      <c r="C20" s="84" t="s">
        <v>76</v>
      </c>
      <c r="D20" s="85"/>
      <c r="E20" s="76"/>
      <c r="F20" s="76"/>
      <c r="G20" s="57">
        <f>MROUND(3925*$I$4,5)</f>
        <v>6275</v>
      </c>
      <c r="H20" s="57"/>
      <c r="I20" s="58">
        <f t="shared" si="0"/>
        <v>6275</v>
      </c>
      <c r="J20" s="58"/>
    </row>
    <row r="21" spans="1:10" ht="15" customHeight="1" x14ac:dyDescent="0.2">
      <c r="A21" s="75"/>
      <c r="B21" s="75"/>
      <c r="C21" s="84" t="s">
        <v>77</v>
      </c>
      <c r="D21" s="85"/>
      <c r="E21" s="76"/>
      <c r="F21" s="76"/>
      <c r="G21" s="57">
        <f>MROUND(4285*$I$4,5)</f>
        <v>6850</v>
      </c>
      <c r="H21" s="57"/>
      <c r="I21" s="58">
        <f t="shared" si="0"/>
        <v>6850</v>
      </c>
      <c r="J21" s="58"/>
    </row>
    <row r="22" spans="1:10" ht="15" customHeight="1" x14ac:dyDescent="0.2">
      <c r="A22" s="75"/>
      <c r="B22" s="75"/>
      <c r="C22" s="84" t="s">
        <v>78</v>
      </c>
      <c r="D22" s="85"/>
      <c r="E22" s="76"/>
      <c r="F22" s="76"/>
      <c r="G22" s="57">
        <f>MROUND(4495*$I$4,5)</f>
        <v>7185</v>
      </c>
      <c r="H22" s="57"/>
      <c r="I22" s="58">
        <f t="shared" si="0"/>
        <v>7185</v>
      </c>
      <c r="J22" s="58"/>
    </row>
    <row r="23" spans="1:10" ht="15" customHeight="1" x14ac:dyDescent="0.2">
      <c r="A23" s="75"/>
      <c r="B23" s="75"/>
      <c r="C23" s="84" t="s">
        <v>79</v>
      </c>
      <c r="D23" s="85"/>
      <c r="E23" s="76"/>
      <c r="F23" s="76"/>
      <c r="G23" s="57">
        <f>MROUND(4625*$I$4,5)</f>
        <v>7395</v>
      </c>
      <c r="H23" s="57"/>
      <c r="I23" s="58">
        <f t="shared" si="0"/>
        <v>7395</v>
      </c>
      <c r="J23" s="58"/>
    </row>
    <row r="24" spans="1:10" ht="15" customHeight="1" x14ac:dyDescent="0.2">
      <c r="A24" s="75"/>
      <c r="B24" s="75"/>
      <c r="C24" s="84" t="s">
        <v>80</v>
      </c>
      <c r="D24" s="85"/>
      <c r="E24" s="76"/>
      <c r="F24" s="76"/>
      <c r="G24" s="57">
        <f>MROUND(5350*$I$4,5)</f>
        <v>8550</v>
      </c>
      <c r="H24" s="57"/>
      <c r="I24" s="58">
        <f t="shared" si="0"/>
        <v>8550</v>
      </c>
      <c r="J24" s="58"/>
    </row>
    <row r="25" spans="1:10" ht="15" customHeight="1" x14ac:dyDescent="0.2">
      <c r="A25" s="75"/>
      <c r="B25" s="75"/>
      <c r="C25" s="84" t="s">
        <v>81</v>
      </c>
      <c r="D25" s="85"/>
      <c r="E25" s="76"/>
      <c r="F25" s="76"/>
      <c r="G25" s="57">
        <f>MROUND(5840*$I$4,5)</f>
        <v>9335</v>
      </c>
      <c r="H25" s="57"/>
      <c r="I25" s="58">
        <f t="shared" si="0"/>
        <v>9335</v>
      </c>
      <c r="J25" s="58"/>
    </row>
    <row r="26" spans="1:10" ht="15" customHeight="1" x14ac:dyDescent="0.2">
      <c r="A26" s="75"/>
      <c r="B26" s="75"/>
      <c r="C26" s="84" t="s">
        <v>82</v>
      </c>
      <c r="D26" s="85"/>
      <c r="E26" s="76"/>
      <c r="F26" s="76"/>
      <c r="G26" s="57">
        <f>MROUND(7475*$I$4,5)</f>
        <v>11950</v>
      </c>
      <c r="H26" s="57"/>
      <c r="I26" s="58">
        <f t="shared" si="0"/>
        <v>11950</v>
      </c>
      <c r="J26" s="58"/>
    </row>
    <row r="27" spans="1:10" ht="15" customHeight="1" x14ac:dyDescent="0.2">
      <c r="A27" s="75"/>
      <c r="B27" s="75"/>
      <c r="C27" s="84" t="s">
        <v>83</v>
      </c>
      <c r="D27" s="85"/>
      <c r="E27" s="76"/>
      <c r="F27" s="76"/>
      <c r="G27" s="57">
        <f>MROUND(8865*$I$4,5)</f>
        <v>14170</v>
      </c>
      <c r="H27" s="57"/>
      <c r="I27" s="58">
        <f t="shared" si="0"/>
        <v>14170</v>
      </c>
      <c r="J27" s="58"/>
    </row>
    <row r="28" spans="1:10" ht="15" customHeight="1" x14ac:dyDescent="0.2">
      <c r="A28" s="75"/>
      <c r="B28" s="75"/>
      <c r="C28" s="84" t="s">
        <v>84</v>
      </c>
      <c r="D28" s="85"/>
      <c r="E28" s="76"/>
      <c r="F28" s="76"/>
      <c r="G28" s="57">
        <f>MROUND(10655*$I$4,5)</f>
        <v>17030</v>
      </c>
      <c r="H28" s="57"/>
      <c r="I28" s="58">
        <f t="shared" si="0"/>
        <v>17030</v>
      </c>
      <c r="J28" s="58"/>
    </row>
    <row r="29" spans="1:10" ht="15" customHeight="1" x14ac:dyDescent="0.2">
      <c r="A29" s="75"/>
      <c r="B29" s="75"/>
      <c r="C29" s="84" t="s">
        <v>85</v>
      </c>
      <c r="D29" s="85"/>
      <c r="E29" s="76"/>
      <c r="F29" s="76"/>
      <c r="G29" s="57">
        <f>MROUND(11345*$I$4,5)</f>
        <v>18135</v>
      </c>
      <c r="H29" s="57"/>
      <c r="I29" s="58">
        <f t="shared" si="0"/>
        <v>18135</v>
      </c>
      <c r="J29" s="58"/>
    </row>
    <row r="30" spans="1:10" ht="15" customHeight="1" x14ac:dyDescent="0.2">
      <c r="A30" s="75"/>
      <c r="B30" s="75"/>
      <c r="C30" s="84" t="s">
        <v>86</v>
      </c>
      <c r="D30" s="85"/>
      <c r="E30" s="76"/>
      <c r="F30" s="76"/>
      <c r="G30" s="57">
        <f>MROUND(12115*$I$4,5)</f>
        <v>19365</v>
      </c>
      <c r="H30" s="57"/>
      <c r="I30" s="58">
        <f t="shared" si="0"/>
        <v>19365</v>
      </c>
      <c r="J30" s="58"/>
    </row>
    <row r="31" spans="1:10" ht="15" customHeight="1" x14ac:dyDescent="0.2">
      <c r="A31" s="75"/>
      <c r="B31" s="75"/>
      <c r="C31" s="84" t="s">
        <v>87</v>
      </c>
      <c r="D31" s="85"/>
      <c r="E31" s="76"/>
      <c r="F31" s="76"/>
      <c r="G31" s="57">
        <f>MROUND(13745*$I$4,5)</f>
        <v>21970</v>
      </c>
      <c r="H31" s="57"/>
      <c r="I31" s="58">
        <f t="shared" si="0"/>
        <v>21970</v>
      </c>
      <c r="J31" s="58"/>
    </row>
    <row r="32" spans="1:10" ht="15" customHeight="1" x14ac:dyDescent="0.2">
      <c r="A32" s="75"/>
      <c r="B32" s="75"/>
      <c r="C32" s="84" t="s">
        <v>88</v>
      </c>
      <c r="D32" s="85"/>
      <c r="E32" s="76"/>
      <c r="F32" s="76"/>
      <c r="G32" s="57">
        <f>MROUND(15015*$I$4,5)</f>
        <v>24000</v>
      </c>
      <c r="H32" s="57"/>
      <c r="I32" s="58">
        <f t="shared" si="0"/>
        <v>24000</v>
      </c>
      <c r="J32" s="58"/>
    </row>
    <row r="33" spans="1:10" ht="15" customHeight="1" x14ac:dyDescent="0.2">
      <c r="A33" s="75"/>
      <c r="B33" s="75"/>
      <c r="C33" s="84" t="s">
        <v>216</v>
      </c>
      <c r="D33" s="85"/>
      <c r="E33" s="76"/>
      <c r="F33" s="76"/>
      <c r="G33" s="57">
        <f>MROUND(17800*$I$4,5)</f>
        <v>28450</v>
      </c>
      <c r="H33" s="57"/>
      <c r="I33" s="58">
        <f t="shared" si="0"/>
        <v>28450</v>
      </c>
      <c r="J33" s="58"/>
    </row>
    <row r="34" spans="1:10" ht="15" customHeight="1" x14ac:dyDescent="0.2">
      <c r="A34" s="75"/>
      <c r="B34" s="75"/>
      <c r="C34" s="84" t="s">
        <v>217</v>
      </c>
      <c r="D34" s="85"/>
      <c r="E34" s="76"/>
      <c r="F34" s="76"/>
      <c r="G34" s="57">
        <f>MROUND(19500*$I$4,5)</f>
        <v>31170</v>
      </c>
      <c r="H34" s="57"/>
      <c r="I34" s="58">
        <f t="shared" si="0"/>
        <v>31170</v>
      </c>
      <c r="J34" s="58"/>
    </row>
    <row r="35" spans="1:10" ht="15" customHeight="1" x14ac:dyDescent="0.2">
      <c r="A35" s="14"/>
      <c r="B35" s="14"/>
      <c r="C35" s="13"/>
      <c r="D35" s="13"/>
      <c r="E35" s="12"/>
      <c r="F35" s="12"/>
      <c r="G35" s="6"/>
      <c r="H35" s="6"/>
      <c r="I35" s="7"/>
      <c r="J35" s="7"/>
    </row>
    <row r="36" spans="1:10" ht="15" customHeight="1" x14ac:dyDescent="0.2">
      <c r="A36" s="5"/>
      <c r="B36" s="5"/>
      <c r="C36" s="5"/>
      <c r="D36" s="5"/>
      <c r="E36" s="5"/>
      <c r="F36" s="5"/>
      <c r="G36" s="6"/>
      <c r="H36" s="6"/>
      <c r="I36" s="7"/>
      <c r="J36" s="7"/>
    </row>
    <row r="37" spans="1:10" ht="15" customHeight="1" x14ac:dyDescent="0.25">
      <c r="A37" s="59" t="s">
        <v>96</v>
      </c>
      <c r="B37" s="59"/>
      <c r="C37" s="59"/>
      <c r="D37" s="59"/>
      <c r="E37" s="59"/>
      <c r="F37" s="59"/>
      <c r="G37" s="59"/>
      <c r="H37" s="59"/>
      <c r="I37" s="19">
        <v>2</v>
      </c>
      <c r="J37" s="19">
        <v>0.65</v>
      </c>
    </row>
    <row r="38" spans="1:10" ht="15" customHeight="1" x14ac:dyDescent="0.2">
      <c r="A38" s="55" t="s">
        <v>97</v>
      </c>
      <c r="B38" s="55"/>
      <c r="C38" s="55"/>
      <c r="D38" s="55"/>
      <c r="E38" s="55"/>
      <c r="F38" s="55"/>
      <c r="G38" s="55"/>
      <c r="H38" s="55"/>
      <c r="I38" s="55"/>
      <c r="J38" s="55"/>
    </row>
    <row r="39" spans="1:10" ht="15" customHeight="1" x14ac:dyDescent="0.2">
      <c r="A39" s="77" t="s">
        <v>94</v>
      </c>
      <c r="B39" s="78"/>
      <c r="C39" s="9" t="s">
        <v>89</v>
      </c>
      <c r="D39" s="9" t="s">
        <v>73</v>
      </c>
      <c r="E39" s="9" t="s">
        <v>90</v>
      </c>
      <c r="F39" s="9" t="s">
        <v>91</v>
      </c>
      <c r="G39" s="9" t="s">
        <v>92</v>
      </c>
      <c r="H39" s="9" t="s">
        <v>93</v>
      </c>
      <c r="I39" s="9" t="s">
        <v>74</v>
      </c>
      <c r="J39" s="9" t="s">
        <v>75</v>
      </c>
    </row>
    <row r="40" spans="1:10" ht="15" customHeight="1" x14ac:dyDescent="0.2">
      <c r="A40" s="68" t="s">
        <v>174</v>
      </c>
      <c r="B40" s="69"/>
      <c r="C40" s="10">
        <f>MROUND(345*$I$4*$J$4,5)</f>
        <v>550</v>
      </c>
      <c r="D40" s="10">
        <f>MROUND(365*$I$4*$J$4,5)</f>
        <v>585</v>
      </c>
      <c r="E40" s="10">
        <f>MROUND(385*$I$4*$J$4,5)</f>
        <v>615</v>
      </c>
      <c r="F40" s="10">
        <f>MROUND(410*$I$4*$J$4,5)</f>
        <v>655</v>
      </c>
      <c r="G40" s="10">
        <f>MROUND(420*$I$4*$J$4,5)</f>
        <v>670</v>
      </c>
      <c r="H40" s="10">
        <f>MROUND(440*$I$4*$J$4,5)</f>
        <v>705</v>
      </c>
      <c r="I40" s="10">
        <f>MROUND(455*$I$4*$J$4,5)</f>
        <v>725</v>
      </c>
      <c r="J40" s="10">
        <f>MROUND(470*$I$4*$J$4,5)</f>
        <v>750</v>
      </c>
    </row>
    <row r="41" spans="1:10" ht="15" customHeight="1" x14ac:dyDescent="0.2">
      <c r="A41" s="77" t="s">
        <v>94</v>
      </c>
      <c r="B41" s="78"/>
      <c r="C41" s="9" t="s">
        <v>76</v>
      </c>
      <c r="D41" s="9" t="s">
        <v>77</v>
      </c>
      <c r="E41" s="9" t="s">
        <v>78</v>
      </c>
      <c r="F41" s="9" t="s">
        <v>79</v>
      </c>
      <c r="G41" s="9" t="s">
        <v>80</v>
      </c>
      <c r="H41" s="9" t="s">
        <v>81</v>
      </c>
      <c r="I41" s="9" t="s">
        <v>82</v>
      </c>
      <c r="J41" s="9" t="s">
        <v>83</v>
      </c>
    </row>
    <row r="42" spans="1:10" ht="15" customHeight="1" x14ac:dyDescent="0.2">
      <c r="A42" s="68" t="s">
        <v>174</v>
      </c>
      <c r="B42" s="69"/>
      <c r="C42" s="10">
        <f>MROUND(590*$I$4*$J$4,5)</f>
        <v>945</v>
      </c>
      <c r="D42" s="10">
        <f>MROUND(605*$I$4*$J$4,5)</f>
        <v>965</v>
      </c>
      <c r="E42" s="10">
        <f>MROUND(635*$I$4*$J$4,5)</f>
        <v>1015</v>
      </c>
      <c r="F42" s="10">
        <f>MROUND(660*$I$4*$J$4,5)</f>
        <v>1055</v>
      </c>
      <c r="G42" s="10">
        <f>MROUND(850*$I$4*$J$4,5)</f>
        <v>1360</v>
      </c>
      <c r="H42" s="10">
        <f>MROUND(1035*$I$4*$J$4,5)</f>
        <v>1655</v>
      </c>
      <c r="I42" s="10">
        <f>MROUND(1280*$I$4*$J$4,5)</f>
        <v>2045</v>
      </c>
      <c r="J42" s="10">
        <f>MROUND(1420*$I$4*$J$4,5)</f>
        <v>2270</v>
      </c>
    </row>
    <row r="43" spans="1:10" ht="15" customHeight="1" x14ac:dyDescent="0.2">
      <c r="A43" s="77" t="s">
        <v>94</v>
      </c>
      <c r="B43" s="78"/>
      <c r="C43" s="9" t="s">
        <v>84</v>
      </c>
      <c r="D43" s="9" t="s">
        <v>85</v>
      </c>
      <c r="E43" s="9" t="s">
        <v>86</v>
      </c>
      <c r="F43" s="9" t="s">
        <v>87</v>
      </c>
      <c r="G43" s="9" t="s">
        <v>88</v>
      </c>
      <c r="H43" s="9" t="s">
        <v>216</v>
      </c>
      <c r="I43" s="9" t="s">
        <v>217</v>
      </c>
      <c r="J43" s="9" t="s">
        <v>219</v>
      </c>
    </row>
    <row r="44" spans="1:10" ht="15" customHeight="1" x14ac:dyDescent="0.2">
      <c r="A44" s="68" t="s">
        <v>174</v>
      </c>
      <c r="B44" s="69"/>
      <c r="C44" s="10">
        <f>MROUND(1490*$I$4*$J$4,5)</f>
        <v>2380</v>
      </c>
      <c r="D44" s="10">
        <f>MROUND(1530*$I$4*$J$4,5)</f>
        <v>2445</v>
      </c>
      <c r="E44" s="10">
        <f>MROUND(1950*$I$4*$J$4,5)</f>
        <v>3115</v>
      </c>
      <c r="F44" s="10">
        <f>MROUND(2060*$I$4*$J$4,5)</f>
        <v>3295</v>
      </c>
      <c r="G44" s="10">
        <f>MROUND(2170*$I$4*$J$4,5)</f>
        <v>3470</v>
      </c>
      <c r="H44" s="10">
        <f>MROUND(6020*$I$4*$J$4,5)</f>
        <v>9625</v>
      </c>
      <c r="I44" s="24">
        <f>MROUND(8490*$I$4*$J$4,5)</f>
        <v>13570</v>
      </c>
      <c r="J44" s="10" t="s">
        <v>218</v>
      </c>
    </row>
    <row r="45" spans="1:10" ht="15" customHeight="1" x14ac:dyDescent="0.2">
      <c r="A45" s="5"/>
      <c r="B45" s="5"/>
      <c r="C45" s="15"/>
      <c r="D45" s="15"/>
      <c r="E45" s="15"/>
      <c r="F45" s="15"/>
      <c r="G45" s="15"/>
      <c r="H45" s="15"/>
      <c r="I45" s="15"/>
      <c r="J45" s="15"/>
    </row>
    <row r="46" spans="1:10" ht="15" customHeight="1" x14ac:dyDescent="0.2">
      <c r="A46" s="3" t="s">
        <v>31</v>
      </c>
      <c r="B46" s="3"/>
      <c r="C46" s="3"/>
      <c r="D46" s="3"/>
      <c r="E46" s="3"/>
      <c r="F46" s="3"/>
      <c r="G46" s="3"/>
      <c r="H46" s="3"/>
      <c r="I46" s="3"/>
      <c r="J46" s="3"/>
    </row>
    <row r="47" spans="1:10" ht="15" customHeight="1" x14ac:dyDescent="0.2">
      <c r="A47" s="3" t="s">
        <v>32</v>
      </c>
      <c r="B47" s="3"/>
      <c r="C47" s="3"/>
      <c r="D47" s="3"/>
      <c r="E47" s="3"/>
      <c r="F47" s="3"/>
      <c r="G47" s="3"/>
      <c r="H47" s="3"/>
      <c r="I47" s="3"/>
      <c r="J47" s="3"/>
    </row>
    <row r="48" spans="1:10" ht="15" customHeight="1" x14ac:dyDescent="0.2">
      <c r="A48" s="3" t="s">
        <v>34</v>
      </c>
      <c r="B48" s="3"/>
      <c r="C48" s="3"/>
      <c r="D48" s="3"/>
      <c r="E48" s="3"/>
      <c r="F48" s="3"/>
      <c r="G48" s="3"/>
      <c r="H48" s="3"/>
      <c r="I48" s="3"/>
      <c r="J48" s="3"/>
    </row>
    <row r="49" spans="1:12" ht="15" customHeight="1" x14ac:dyDescent="0.2">
      <c r="A49" s="3" t="s">
        <v>35</v>
      </c>
      <c r="B49" s="3"/>
      <c r="C49" s="3"/>
      <c r="D49" s="3"/>
      <c r="E49" s="3"/>
      <c r="F49" s="3"/>
      <c r="G49" s="3"/>
      <c r="H49" s="3"/>
      <c r="I49" s="3"/>
      <c r="J49" s="3"/>
    </row>
    <row r="50" spans="1:12" ht="15" customHeight="1" x14ac:dyDescent="0.2">
      <c r="A50" s="4" t="s">
        <v>33</v>
      </c>
      <c r="B50" s="3"/>
      <c r="C50" s="3"/>
      <c r="D50" s="3"/>
      <c r="E50" s="3"/>
      <c r="F50" s="3"/>
      <c r="G50" s="3"/>
      <c r="H50" s="3"/>
      <c r="I50" s="3"/>
      <c r="J50" s="3"/>
    </row>
    <row r="51" spans="1:12" ht="15" customHeight="1" thickBot="1" x14ac:dyDescent="0.25">
      <c r="G51" s="25"/>
      <c r="H51" s="25"/>
      <c r="I51" s="49" t="s">
        <v>2</v>
      </c>
      <c r="J51" s="49"/>
    </row>
    <row r="52" spans="1:12" ht="14.25" customHeight="1" x14ac:dyDescent="0.2">
      <c r="G52" s="25"/>
      <c r="H52" s="25"/>
      <c r="I52" s="63">
        <f>I2</f>
        <v>0</v>
      </c>
      <c r="J52" s="64"/>
    </row>
    <row r="53" spans="1:12" ht="15" thickBot="1" x14ac:dyDescent="0.25">
      <c r="I53" s="65"/>
      <c r="J53" s="66"/>
    </row>
    <row r="56" spans="1:12" ht="15" customHeight="1" x14ac:dyDescent="0.2">
      <c r="A56" s="50" t="s">
        <v>69</v>
      </c>
      <c r="B56" s="50"/>
      <c r="C56" s="50"/>
      <c r="D56" s="50"/>
      <c r="E56" s="50"/>
      <c r="F56" s="50"/>
      <c r="G56" s="50"/>
      <c r="H56" s="50"/>
    </row>
    <row r="57" spans="1:12" ht="15" customHeight="1" x14ac:dyDescent="0.2">
      <c r="A57" s="50"/>
      <c r="B57" s="50"/>
      <c r="C57" s="50"/>
      <c r="D57" s="50"/>
      <c r="E57" s="50"/>
      <c r="F57" s="50"/>
      <c r="G57" s="50"/>
      <c r="H57" s="50"/>
    </row>
    <row r="58" spans="1:12" ht="15" customHeight="1" x14ac:dyDescent="0.2">
      <c r="J58" s="23">
        <f>1-I52</f>
        <v>1</v>
      </c>
    </row>
    <row r="59" spans="1:12" ht="15" customHeight="1" x14ac:dyDescent="0.25">
      <c r="A59" s="59" t="s">
        <v>71</v>
      </c>
      <c r="B59" s="59"/>
      <c r="C59" s="59"/>
      <c r="D59" s="59"/>
      <c r="E59" s="59"/>
      <c r="F59" s="59"/>
      <c r="G59" s="59"/>
      <c r="H59" s="59"/>
      <c r="I59" s="67" t="s">
        <v>70</v>
      </c>
      <c r="J59" s="67"/>
    </row>
    <row r="60" spans="1:12" ht="15" customHeight="1" x14ac:dyDescent="0.2">
      <c r="A60" s="55" t="s">
        <v>46</v>
      </c>
      <c r="B60" s="55"/>
      <c r="C60" s="55"/>
      <c r="D60" s="55"/>
      <c r="E60" s="55"/>
      <c r="F60" s="55"/>
      <c r="G60" s="55"/>
      <c r="H60" s="55"/>
      <c r="I60" s="55"/>
      <c r="J60" s="55"/>
    </row>
    <row r="61" spans="1:12" ht="15" customHeight="1" x14ac:dyDescent="0.25">
      <c r="A61" s="62" t="s">
        <v>4</v>
      </c>
      <c r="B61" s="62"/>
      <c r="C61" s="62" t="s">
        <v>72</v>
      </c>
      <c r="D61" s="62"/>
      <c r="E61" s="62" t="s">
        <v>42</v>
      </c>
      <c r="F61" s="62"/>
      <c r="G61" s="62" t="s">
        <v>175</v>
      </c>
      <c r="H61" s="62"/>
      <c r="I61" s="62" t="s">
        <v>39</v>
      </c>
      <c r="J61" s="62"/>
    </row>
    <row r="62" spans="1:12" ht="15" customHeight="1" x14ac:dyDescent="0.2">
      <c r="A62" s="75" t="s">
        <v>95</v>
      </c>
      <c r="B62" s="75"/>
      <c r="C62" s="84" t="s">
        <v>89</v>
      </c>
      <c r="D62" s="85"/>
      <c r="E62" s="76">
        <v>1500</v>
      </c>
      <c r="F62" s="76"/>
      <c r="G62" s="57">
        <f>MROUND(2840*$I$4,5)</f>
        <v>4540</v>
      </c>
      <c r="H62" s="57"/>
      <c r="I62" s="58">
        <f t="shared" ref="I62:I84" si="1">ROUND(G62*$J$58,0)</f>
        <v>4540</v>
      </c>
      <c r="J62" s="58"/>
      <c r="L62" s="20"/>
    </row>
    <row r="63" spans="1:12" ht="15" customHeight="1" x14ac:dyDescent="0.2">
      <c r="A63" s="75"/>
      <c r="B63" s="75"/>
      <c r="C63" s="84" t="s">
        <v>73</v>
      </c>
      <c r="D63" s="85"/>
      <c r="E63" s="76"/>
      <c r="F63" s="76"/>
      <c r="G63" s="57">
        <f>MROUND(2990*$I$4,5)</f>
        <v>4780</v>
      </c>
      <c r="H63" s="57"/>
      <c r="I63" s="58">
        <f t="shared" si="1"/>
        <v>4780</v>
      </c>
      <c r="J63" s="58"/>
      <c r="L63" s="20"/>
    </row>
    <row r="64" spans="1:12" ht="15" customHeight="1" x14ac:dyDescent="0.2">
      <c r="A64" s="75"/>
      <c r="B64" s="75"/>
      <c r="C64" s="84" t="s">
        <v>90</v>
      </c>
      <c r="D64" s="85"/>
      <c r="E64" s="76"/>
      <c r="F64" s="76"/>
      <c r="G64" s="57">
        <f>MROUND(3240*$I$4,5)</f>
        <v>5180</v>
      </c>
      <c r="H64" s="57"/>
      <c r="I64" s="58">
        <f t="shared" si="1"/>
        <v>5180</v>
      </c>
      <c r="J64" s="58"/>
      <c r="L64" s="20"/>
    </row>
    <row r="65" spans="1:12" ht="15" customHeight="1" x14ac:dyDescent="0.2">
      <c r="A65" s="75"/>
      <c r="B65" s="75"/>
      <c r="C65" s="84" t="s">
        <v>91</v>
      </c>
      <c r="D65" s="85"/>
      <c r="E65" s="76"/>
      <c r="F65" s="76"/>
      <c r="G65" s="57">
        <f>MROUND(3405*$I$4,5)</f>
        <v>5445</v>
      </c>
      <c r="H65" s="57"/>
      <c r="I65" s="58">
        <f t="shared" si="1"/>
        <v>5445</v>
      </c>
      <c r="J65" s="58"/>
      <c r="L65" s="20"/>
    </row>
    <row r="66" spans="1:12" ht="15" customHeight="1" x14ac:dyDescent="0.2">
      <c r="A66" s="75"/>
      <c r="B66" s="75"/>
      <c r="C66" s="84" t="s">
        <v>92</v>
      </c>
      <c r="D66" s="85"/>
      <c r="E66" s="76"/>
      <c r="F66" s="76"/>
      <c r="G66" s="57">
        <f>MROUND(3675*$I$4,5)</f>
        <v>5875</v>
      </c>
      <c r="H66" s="57"/>
      <c r="I66" s="58">
        <f t="shared" si="1"/>
        <v>5875</v>
      </c>
      <c r="J66" s="58"/>
      <c r="L66" s="20"/>
    </row>
    <row r="67" spans="1:12" ht="15" customHeight="1" x14ac:dyDescent="0.2">
      <c r="A67" s="75"/>
      <c r="B67" s="75"/>
      <c r="C67" s="84" t="s">
        <v>93</v>
      </c>
      <c r="D67" s="85"/>
      <c r="E67" s="76"/>
      <c r="F67" s="76"/>
      <c r="G67" s="57">
        <f>MROUND(4055*$I$4,5)</f>
        <v>6480</v>
      </c>
      <c r="H67" s="57"/>
      <c r="I67" s="58">
        <f t="shared" si="1"/>
        <v>6480</v>
      </c>
      <c r="J67" s="58"/>
      <c r="L67" s="20"/>
    </row>
    <row r="68" spans="1:12" ht="15" customHeight="1" x14ac:dyDescent="0.2">
      <c r="A68" s="75"/>
      <c r="B68" s="75"/>
      <c r="C68" s="84" t="s">
        <v>74</v>
      </c>
      <c r="D68" s="85"/>
      <c r="E68" s="76"/>
      <c r="F68" s="76"/>
      <c r="G68" s="57">
        <f>MROUND(4280*$I$4,5)</f>
        <v>6840</v>
      </c>
      <c r="H68" s="57"/>
      <c r="I68" s="58">
        <f t="shared" si="1"/>
        <v>6840</v>
      </c>
      <c r="J68" s="58"/>
      <c r="L68" s="20"/>
    </row>
    <row r="69" spans="1:12" ht="15" customHeight="1" x14ac:dyDescent="0.2">
      <c r="A69" s="75"/>
      <c r="B69" s="75"/>
      <c r="C69" s="84" t="s">
        <v>75</v>
      </c>
      <c r="D69" s="85"/>
      <c r="E69" s="76"/>
      <c r="F69" s="76"/>
      <c r="G69" s="57">
        <f>MROUND(4725*$I$4,5)</f>
        <v>7555</v>
      </c>
      <c r="H69" s="57"/>
      <c r="I69" s="58">
        <f t="shared" si="1"/>
        <v>7555</v>
      </c>
      <c r="J69" s="58"/>
      <c r="L69" s="20"/>
    </row>
    <row r="70" spans="1:12" ht="15" customHeight="1" x14ac:dyDescent="0.2">
      <c r="A70" s="75"/>
      <c r="B70" s="75"/>
      <c r="C70" s="84" t="s">
        <v>76</v>
      </c>
      <c r="D70" s="85"/>
      <c r="E70" s="76"/>
      <c r="F70" s="76"/>
      <c r="G70" s="57">
        <f>MROUND(5040*$I$4,5)</f>
        <v>8055</v>
      </c>
      <c r="H70" s="57"/>
      <c r="I70" s="58">
        <f t="shared" si="1"/>
        <v>8055</v>
      </c>
      <c r="J70" s="58"/>
      <c r="L70" s="20"/>
    </row>
    <row r="71" spans="1:12" ht="15" customHeight="1" x14ac:dyDescent="0.2">
      <c r="A71" s="75"/>
      <c r="B71" s="75"/>
      <c r="C71" s="84" t="s">
        <v>77</v>
      </c>
      <c r="D71" s="85"/>
      <c r="E71" s="76"/>
      <c r="F71" s="76"/>
      <c r="G71" s="57">
        <f>MROUND(5495*$I$4,5)</f>
        <v>8785</v>
      </c>
      <c r="H71" s="57"/>
      <c r="I71" s="58">
        <f t="shared" si="1"/>
        <v>8785</v>
      </c>
      <c r="J71" s="58"/>
      <c r="L71" s="20"/>
    </row>
    <row r="72" spans="1:12" ht="15" customHeight="1" x14ac:dyDescent="0.2">
      <c r="A72" s="75"/>
      <c r="B72" s="75"/>
      <c r="C72" s="84" t="s">
        <v>78</v>
      </c>
      <c r="D72" s="85"/>
      <c r="E72" s="76"/>
      <c r="F72" s="76"/>
      <c r="G72" s="57">
        <f>MROUND(5815*$I$4,5)</f>
        <v>9295</v>
      </c>
      <c r="H72" s="57"/>
      <c r="I72" s="58">
        <f t="shared" si="1"/>
        <v>9295</v>
      </c>
      <c r="J72" s="58"/>
      <c r="L72" s="20"/>
    </row>
    <row r="73" spans="1:12" ht="15" customHeight="1" x14ac:dyDescent="0.2">
      <c r="A73" s="75"/>
      <c r="B73" s="75"/>
      <c r="C73" s="84" t="s">
        <v>79</v>
      </c>
      <c r="D73" s="85"/>
      <c r="E73" s="76"/>
      <c r="F73" s="76"/>
      <c r="G73" s="57">
        <f>MROUND(5990*$I$4,5)</f>
        <v>9575</v>
      </c>
      <c r="H73" s="57"/>
      <c r="I73" s="58">
        <f t="shared" si="1"/>
        <v>9575</v>
      </c>
      <c r="J73" s="58"/>
      <c r="L73" s="20"/>
    </row>
    <row r="74" spans="1:12" ht="15" customHeight="1" x14ac:dyDescent="0.2">
      <c r="A74" s="75"/>
      <c r="B74" s="75"/>
      <c r="C74" s="84" t="s">
        <v>80</v>
      </c>
      <c r="D74" s="85"/>
      <c r="E74" s="76"/>
      <c r="F74" s="76"/>
      <c r="G74" s="57">
        <f>MROUND(6945*$I$4,5)</f>
        <v>11100</v>
      </c>
      <c r="H74" s="57"/>
      <c r="I74" s="58">
        <f t="shared" si="1"/>
        <v>11100</v>
      </c>
      <c r="J74" s="58"/>
      <c r="L74" s="20"/>
    </row>
    <row r="75" spans="1:12" ht="15" customHeight="1" x14ac:dyDescent="0.2">
      <c r="A75" s="75"/>
      <c r="B75" s="75"/>
      <c r="C75" s="84" t="s">
        <v>81</v>
      </c>
      <c r="D75" s="85"/>
      <c r="E75" s="76"/>
      <c r="F75" s="76"/>
      <c r="G75" s="57">
        <f>MROUND(7480*$I$4,5)</f>
        <v>11955</v>
      </c>
      <c r="H75" s="57"/>
      <c r="I75" s="58">
        <f t="shared" si="1"/>
        <v>11955</v>
      </c>
      <c r="J75" s="58"/>
      <c r="L75" s="20"/>
    </row>
    <row r="76" spans="1:12" ht="15" customHeight="1" x14ac:dyDescent="0.2">
      <c r="A76" s="75"/>
      <c r="B76" s="75"/>
      <c r="C76" s="84" t="s">
        <v>82</v>
      </c>
      <c r="D76" s="85"/>
      <c r="E76" s="76"/>
      <c r="F76" s="76"/>
      <c r="G76" s="57">
        <f>MROUND(9310*$I$4,5)</f>
        <v>14880</v>
      </c>
      <c r="H76" s="57"/>
      <c r="I76" s="58">
        <f t="shared" si="1"/>
        <v>14880</v>
      </c>
      <c r="J76" s="58"/>
      <c r="L76" s="20"/>
    </row>
    <row r="77" spans="1:12" ht="15" customHeight="1" x14ac:dyDescent="0.2">
      <c r="A77" s="75"/>
      <c r="B77" s="75"/>
      <c r="C77" s="84" t="s">
        <v>83</v>
      </c>
      <c r="D77" s="85"/>
      <c r="E77" s="76"/>
      <c r="F77" s="76"/>
      <c r="G77" s="57">
        <f>MROUND(10840*$I$4,5)</f>
        <v>17325</v>
      </c>
      <c r="H77" s="57"/>
      <c r="I77" s="58">
        <f t="shared" si="1"/>
        <v>17325</v>
      </c>
      <c r="J77" s="58"/>
      <c r="L77" s="20"/>
    </row>
    <row r="78" spans="1:12" ht="15" customHeight="1" x14ac:dyDescent="0.2">
      <c r="A78" s="75"/>
      <c r="B78" s="75"/>
      <c r="C78" s="84" t="s">
        <v>84</v>
      </c>
      <c r="D78" s="85"/>
      <c r="E78" s="76"/>
      <c r="F78" s="76"/>
      <c r="G78" s="57">
        <f>MROUND(12865*$I$4,5)</f>
        <v>20565</v>
      </c>
      <c r="H78" s="57"/>
      <c r="I78" s="58">
        <f t="shared" si="1"/>
        <v>20565</v>
      </c>
      <c r="J78" s="58"/>
      <c r="L78" s="20"/>
    </row>
    <row r="79" spans="1:12" ht="15" customHeight="1" x14ac:dyDescent="0.2">
      <c r="A79" s="75"/>
      <c r="B79" s="75"/>
      <c r="C79" s="84" t="s">
        <v>85</v>
      </c>
      <c r="D79" s="85"/>
      <c r="E79" s="76"/>
      <c r="F79" s="76"/>
      <c r="G79" s="57">
        <f>MROUND(14010*$I$4,5)</f>
        <v>22395</v>
      </c>
      <c r="H79" s="57"/>
      <c r="I79" s="58">
        <f t="shared" si="1"/>
        <v>22395</v>
      </c>
      <c r="J79" s="58"/>
      <c r="L79" s="20"/>
    </row>
    <row r="80" spans="1:12" ht="15" customHeight="1" x14ac:dyDescent="0.2">
      <c r="A80" s="75"/>
      <c r="B80" s="75"/>
      <c r="C80" s="84" t="s">
        <v>86</v>
      </c>
      <c r="D80" s="85"/>
      <c r="E80" s="76"/>
      <c r="F80" s="76"/>
      <c r="G80" s="57">
        <f>MROUND(14855*$I$4,5)</f>
        <v>23745</v>
      </c>
      <c r="H80" s="57"/>
      <c r="I80" s="58">
        <f t="shared" si="1"/>
        <v>23745</v>
      </c>
      <c r="J80" s="58"/>
      <c r="L80" s="20"/>
    </row>
    <row r="81" spans="1:12" ht="15" customHeight="1" x14ac:dyDescent="0.2">
      <c r="A81" s="75"/>
      <c r="B81" s="75"/>
      <c r="C81" s="84" t="s">
        <v>87</v>
      </c>
      <c r="D81" s="85"/>
      <c r="E81" s="76"/>
      <c r="F81" s="76"/>
      <c r="G81" s="57">
        <f>MROUND(16640*$I$4,5)</f>
        <v>26600</v>
      </c>
      <c r="H81" s="57"/>
      <c r="I81" s="58">
        <f t="shared" si="1"/>
        <v>26600</v>
      </c>
      <c r="J81" s="58"/>
      <c r="L81" s="20"/>
    </row>
    <row r="82" spans="1:12" ht="15" customHeight="1" x14ac:dyDescent="0.2">
      <c r="A82" s="75"/>
      <c r="B82" s="75"/>
      <c r="C82" s="84" t="s">
        <v>88</v>
      </c>
      <c r="D82" s="85"/>
      <c r="E82" s="76"/>
      <c r="F82" s="76"/>
      <c r="G82" s="57">
        <f>MROUND(18245*$I$4,5)</f>
        <v>29165</v>
      </c>
      <c r="H82" s="57"/>
      <c r="I82" s="58">
        <f t="shared" si="1"/>
        <v>29165</v>
      </c>
      <c r="J82" s="58"/>
      <c r="L82" s="20"/>
    </row>
    <row r="83" spans="1:12" ht="15" customHeight="1" x14ac:dyDescent="0.2">
      <c r="A83" s="75"/>
      <c r="B83" s="75"/>
      <c r="C83" s="84" t="s">
        <v>216</v>
      </c>
      <c r="D83" s="85"/>
      <c r="E83" s="76"/>
      <c r="F83" s="76"/>
      <c r="G83" s="57">
        <f>MROUND(23600*$I$4,5)</f>
        <v>37725</v>
      </c>
      <c r="H83" s="57"/>
      <c r="I83" s="58">
        <f t="shared" si="1"/>
        <v>37725</v>
      </c>
      <c r="J83" s="58"/>
      <c r="L83" s="20"/>
    </row>
    <row r="84" spans="1:12" ht="15" customHeight="1" x14ac:dyDescent="0.2">
      <c r="A84" s="75"/>
      <c r="B84" s="75"/>
      <c r="C84" s="84" t="s">
        <v>217</v>
      </c>
      <c r="D84" s="85"/>
      <c r="E84" s="76"/>
      <c r="F84" s="76"/>
      <c r="G84" s="57">
        <f>MROUND(25700*$I$4,5)</f>
        <v>41080</v>
      </c>
      <c r="H84" s="57"/>
      <c r="I84" s="58">
        <f t="shared" si="1"/>
        <v>41080</v>
      </c>
      <c r="J84" s="58"/>
      <c r="L84" s="20"/>
    </row>
    <row r="85" spans="1:12" ht="15" customHeight="1" x14ac:dyDescent="0.2">
      <c r="A85" s="14"/>
      <c r="B85" s="14"/>
      <c r="C85" s="13"/>
      <c r="D85" s="13"/>
      <c r="E85" s="12"/>
      <c r="F85" s="12"/>
      <c r="G85" s="6"/>
      <c r="H85" s="6"/>
      <c r="I85" s="7"/>
      <c r="J85" s="7"/>
    </row>
    <row r="86" spans="1:12" ht="15" customHeight="1" x14ac:dyDescent="0.2">
      <c r="A86" s="5"/>
      <c r="B86" s="5"/>
      <c r="C86" s="5"/>
      <c r="D86" s="5"/>
      <c r="E86" s="5"/>
      <c r="F86" s="5"/>
      <c r="G86" s="6"/>
      <c r="H86" s="6"/>
      <c r="I86" s="7"/>
      <c r="J86" s="7"/>
    </row>
    <row r="87" spans="1:12" ht="15" customHeight="1" x14ac:dyDescent="0.25">
      <c r="A87" s="59" t="s">
        <v>96</v>
      </c>
      <c r="B87" s="59"/>
      <c r="C87" s="59"/>
      <c r="D87" s="59"/>
      <c r="E87" s="59"/>
      <c r="F87" s="59"/>
      <c r="G87" s="59"/>
      <c r="H87" s="59"/>
      <c r="I87" s="19">
        <v>2</v>
      </c>
      <c r="J87" s="19">
        <v>0.65</v>
      </c>
    </row>
    <row r="88" spans="1:12" ht="15" customHeight="1" x14ac:dyDescent="0.2">
      <c r="A88" s="55" t="s">
        <v>97</v>
      </c>
      <c r="B88" s="55"/>
      <c r="C88" s="55"/>
      <c r="D88" s="55"/>
      <c r="E88" s="55"/>
      <c r="F88" s="55"/>
      <c r="G88" s="55"/>
      <c r="H88" s="55"/>
      <c r="I88" s="55"/>
      <c r="J88" s="55"/>
    </row>
    <row r="89" spans="1:12" ht="15" customHeight="1" x14ac:dyDescent="0.2">
      <c r="A89" s="77" t="s">
        <v>94</v>
      </c>
      <c r="B89" s="78"/>
      <c r="C89" s="9" t="s">
        <v>89</v>
      </c>
      <c r="D89" s="9" t="s">
        <v>73</v>
      </c>
      <c r="E89" s="9" t="s">
        <v>90</v>
      </c>
      <c r="F89" s="9" t="s">
        <v>91</v>
      </c>
      <c r="G89" s="9" t="s">
        <v>92</v>
      </c>
      <c r="H89" s="9" t="s">
        <v>93</v>
      </c>
      <c r="I89" s="9" t="s">
        <v>74</v>
      </c>
      <c r="J89" s="9" t="s">
        <v>75</v>
      </c>
    </row>
    <row r="90" spans="1:12" ht="15" customHeight="1" x14ac:dyDescent="0.2">
      <c r="A90" s="68" t="s">
        <v>174</v>
      </c>
      <c r="B90" s="69"/>
      <c r="C90" s="10">
        <f>MROUND(345*$I$4*$J$58,5)</f>
        <v>550</v>
      </c>
      <c r="D90" s="10">
        <f>MROUND(365*$I$4*$J$58,5)</f>
        <v>585</v>
      </c>
      <c r="E90" s="10">
        <f>MROUND(385*$I$4*$J$58,5)</f>
        <v>615</v>
      </c>
      <c r="F90" s="10">
        <f>MROUND(410*$I$4*$J$58,5)</f>
        <v>655</v>
      </c>
      <c r="G90" s="10">
        <f>MROUND(420*$I$4*$J$58,5)</f>
        <v>670</v>
      </c>
      <c r="H90" s="10">
        <f>MROUND(440*$I$4*$J$58,5)</f>
        <v>705</v>
      </c>
      <c r="I90" s="10">
        <f>MROUND(455*$I$4*$J$58,5)</f>
        <v>725</v>
      </c>
      <c r="J90" s="10">
        <f>MROUND(470*$I$4*$J$58,5)</f>
        <v>750</v>
      </c>
    </row>
    <row r="91" spans="1:12" ht="15" customHeight="1" x14ac:dyDescent="0.2">
      <c r="A91" s="77" t="s">
        <v>94</v>
      </c>
      <c r="B91" s="78"/>
      <c r="C91" s="9" t="s">
        <v>76</v>
      </c>
      <c r="D91" s="9" t="s">
        <v>77</v>
      </c>
      <c r="E91" s="9" t="s">
        <v>78</v>
      </c>
      <c r="F91" s="9" t="s">
        <v>79</v>
      </c>
      <c r="G91" s="9" t="s">
        <v>80</v>
      </c>
      <c r="H91" s="9" t="s">
        <v>81</v>
      </c>
      <c r="I91" s="9" t="s">
        <v>82</v>
      </c>
      <c r="J91" s="9" t="s">
        <v>83</v>
      </c>
    </row>
    <row r="92" spans="1:12" ht="15" customHeight="1" x14ac:dyDescent="0.2">
      <c r="A92" s="68" t="s">
        <v>174</v>
      </c>
      <c r="B92" s="69"/>
      <c r="C92" s="10">
        <f>MROUND(590*$I$4*$J$58,5)</f>
        <v>945</v>
      </c>
      <c r="D92" s="10">
        <f>MROUND(605*$I$4*$J$58,5)</f>
        <v>965</v>
      </c>
      <c r="E92" s="10">
        <f>MROUND(635*$I$4*$J$58,5)</f>
        <v>1015</v>
      </c>
      <c r="F92" s="10">
        <f>MROUND(660*$I$4*$J$58,5)</f>
        <v>1055</v>
      </c>
      <c r="G92" s="10">
        <f>MROUND(850*$I$4*$J$58,5)</f>
        <v>1360</v>
      </c>
      <c r="H92" s="10">
        <f>MROUND(1035*$I$4*$J$58,5)</f>
        <v>1655</v>
      </c>
      <c r="I92" s="10">
        <f>MROUND(1280*$I$4*$J$58,5)</f>
        <v>2045</v>
      </c>
      <c r="J92" s="10">
        <f>MROUND(1420*$I$4*$J$58,5)</f>
        <v>2270</v>
      </c>
    </row>
    <row r="93" spans="1:12" ht="15" customHeight="1" x14ac:dyDescent="0.2">
      <c r="A93" s="77" t="s">
        <v>94</v>
      </c>
      <c r="B93" s="78"/>
      <c r="C93" s="9" t="s">
        <v>84</v>
      </c>
      <c r="D93" s="9" t="s">
        <v>85</v>
      </c>
      <c r="E93" s="9" t="s">
        <v>86</v>
      </c>
      <c r="F93" s="9" t="s">
        <v>87</v>
      </c>
      <c r="G93" s="9" t="s">
        <v>88</v>
      </c>
      <c r="H93" s="9" t="s">
        <v>216</v>
      </c>
      <c r="I93" s="9" t="s">
        <v>217</v>
      </c>
      <c r="J93" s="9" t="s">
        <v>219</v>
      </c>
    </row>
    <row r="94" spans="1:12" ht="15" customHeight="1" x14ac:dyDescent="0.2">
      <c r="A94" s="68" t="s">
        <v>174</v>
      </c>
      <c r="B94" s="69"/>
      <c r="C94" s="10">
        <f>MROUND(1490*$I$4*$J$58,5)</f>
        <v>2380</v>
      </c>
      <c r="D94" s="10">
        <f>MROUND(1530*$I$4*$J$58,5)</f>
        <v>2445</v>
      </c>
      <c r="E94" s="10">
        <f>MROUND(1950*$I$4*$J$58,5)</f>
        <v>3115</v>
      </c>
      <c r="F94" s="10">
        <f>MROUND(2060*$I$4*$J$58,5)</f>
        <v>3295</v>
      </c>
      <c r="G94" s="10">
        <f>MROUND(2170*$I$4*$J$58,5)</f>
        <v>3470</v>
      </c>
      <c r="H94" s="10">
        <f>MROUND(6020*$I$4*$J$58,5)</f>
        <v>9625</v>
      </c>
      <c r="I94" s="24">
        <f>MROUND(8490*$I$4*$J$58,5)</f>
        <v>13570</v>
      </c>
      <c r="J94" s="10" t="s">
        <v>218</v>
      </c>
    </row>
    <row r="95" spans="1:12" ht="15" customHeight="1" x14ac:dyDescent="0.2">
      <c r="A95" s="5"/>
      <c r="B95" s="5"/>
      <c r="C95" s="15"/>
      <c r="D95" s="15"/>
      <c r="E95" s="15"/>
      <c r="F95" s="15"/>
      <c r="G95" s="15"/>
      <c r="H95" s="15"/>
      <c r="I95" s="15"/>
      <c r="J95" s="15"/>
    </row>
    <row r="96" spans="1:12" ht="15" customHeight="1" x14ac:dyDescent="0.2">
      <c r="A96" s="3" t="s">
        <v>31</v>
      </c>
      <c r="B96" s="3"/>
      <c r="C96" s="3"/>
      <c r="D96" s="3"/>
      <c r="E96" s="3"/>
      <c r="F96" s="3"/>
      <c r="G96" s="3"/>
      <c r="H96" s="3"/>
      <c r="I96" s="3"/>
      <c r="J96" s="3"/>
    </row>
    <row r="97" spans="1:13" ht="15" customHeight="1" x14ac:dyDescent="0.2">
      <c r="A97" s="3" t="s">
        <v>32</v>
      </c>
      <c r="B97" s="3"/>
      <c r="C97" s="3"/>
      <c r="D97" s="3"/>
      <c r="E97" s="3"/>
      <c r="F97" s="3"/>
      <c r="G97" s="3"/>
      <c r="H97" s="3"/>
      <c r="I97" s="3"/>
      <c r="J97" s="3"/>
    </row>
    <row r="98" spans="1:13" ht="15" customHeight="1" x14ac:dyDescent="0.2">
      <c r="A98" s="3" t="s">
        <v>34</v>
      </c>
      <c r="B98" s="3"/>
      <c r="C98" s="3"/>
      <c r="D98" s="3"/>
      <c r="E98" s="3"/>
      <c r="F98" s="3"/>
      <c r="G98" s="3"/>
      <c r="H98" s="3"/>
      <c r="I98" s="3"/>
      <c r="J98" s="3"/>
    </row>
    <row r="99" spans="1:13" ht="15" customHeight="1" x14ac:dyDescent="0.2">
      <c r="A99" s="3" t="s">
        <v>35</v>
      </c>
      <c r="B99" s="3"/>
      <c r="C99" s="3"/>
      <c r="D99" s="3"/>
      <c r="E99" s="3"/>
      <c r="F99" s="3"/>
      <c r="G99" s="3"/>
      <c r="H99" s="3"/>
      <c r="I99" s="3"/>
      <c r="J99" s="3"/>
    </row>
    <row r="100" spans="1:13" ht="15" customHeight="1" x14ac:dyDescent="0.2">
      <c r="A100" s="4" t="s">
        <v>33</v>
      </c>
      <c r="B100" s="3"/>
      <c r="C100" s="3"/>
      <c r="D100" s="3"/>
      <c r="E100" s="3"/>
      <c r="F100" s="3"/>
      <c r="G100" s="3"/>
      <c r="H100" s="3"/>
      <c r="I100" s="3"/>
      <c r="J100" s="3"/>
    </row>
    <row r="101" spans="1:13" ht="15" customHeight="1" thickBot="1" x14ac:dyDescent="0.25">
      <c r="G101" s="25"/>
      <c r="H101" s="25"/>
      <c r="I101" s="49" t="s">
        <v>2</v>
      </c>
      <c r="J101" s="49"/>
    </row>
    <row r="102" spans="1:13" ht="15" customHeight="1" x14ac:dyDescent="0.2">
      <c r="G102" s="25"/>
      <c r="H102" s="25"/>
      <c r="I102" s="63">
        <f>I2</f>
        <v>0</v>
      </c>
      <c r="J102" s="64"/>
    </row>
    <row r="103" spans="1:13" ht="15" customHeight="1" thickBot="1" x14ac:dyDescent="0.25">
      <c r="I103" s="65"/>
      <c r="J103" s="66"/>
    </row>
    <row r="104" spans="1:13" ht="15" customHeight="1" x14ac:dyDescent="0.2"/>
    <row r="105" spans="1:13" ht="15" customHeight="1" x14ac:dyDescent="0.2"/>
    <row r="106" spans="1:13" ht="15" customHeight="1" x14ac:dyDescent="0.2">
      <c r="A106" s="50" t="s">
        <v>69</v>
      </c>
      <c r="B106" s="50"/>
      <c r="C106" s="50"/>
      <c r="D106" s="50"/>
      <c r="E106" s="50"/>
      <c r="F106" s="50"/>
      <c r="G106" s="50"/>
      <c r="H106" s="50"/>
    </row>
    <row r="107" spans="1:13" ht="15" customHeight="1" x14ac:dyDescent="0.2">
      <c r="A107" s="50"/>
      <c r="B107" s="50"/>
      <c r="C107" s="50"/>
      <c r="D107" s="50"/>
      <c r="E107" s="50"/>
      <c r="F107" s="50"/>
      <c r="G107" s="50"/>
      <c r="H107" s="50"/>
    </row>
    <row r="108" spans="1:13" ht="15" customHeight="1" x14ac:dyDescent="0.2">
      <c r="J108" s="23">
        <f>1-I102</f>
        <v>1</v>
      </c>
    </row>
    <row r="109" spans="1:13" ht="15" customHeight="1" x14ac:dyDescent="0.25">
      <c r="A109" s="59" t="s">
        <v>71</v>
      </c>
      <c r="B109" s="59"/>
      <c r="C109" s="59"/>
      <c r="D109" s="59"/>
      <c r="E109" s="59"/>
      <c r="F109" s="59"/>
      <c r="G109" s="59"/>
      <c r="H109" s="59"/>
      <c r="I109" s="67" t="s">
        <v>70</v>
      </c>
      <c r="J109" s="67"/>
    </row>
    <row r="110" spans="1:13" ht="15" customHeight="1" x14ac:dyDescent="0.2">
      <c r="A110" s="55" t="s">
        <v>46</v>
      </c>
      <c r="B110" s="55"/>
      <c r="C110" s="55"/>
      <c r="D110" s="55"/>
      <c r="E110" s="55"/>
      <c r="F110" s="55"/>
      <c r="G110" s="55"/>
      <c r="H110" s="55"/>
      <c r="I110" s="55"/>
      <c r="J110" s="55"/>
    </row>
    <row r="111" spans="1:13" ht="15" customHeight="1" x14ac:dyDescent="0.25">
      <c r="A111" s="62" t="s">
        <v>4</v>
      </c>
      <c r="B111" s="62"/>
      <c r="C111" s="62" t="s">
        <v>72</v>
      </c>
      <c r="D111" s="62"/>
      <c r="E111" s="62" t="s">
        <v>42</v>
      </c>
      <c r="F111" s="62"/>
      <c r="G111" s="62" t="s">
        <v>175</v>
      </c>
      <c r="H111" s="62"/>
      <c r="I111" s="62" t="s">
        <v>39</v>
      </c>
      <c r="J111" s="62"/>
    </row>
    <row r="112" spans="1:13" ht="15" customHeight="1" x14ac:dyDescent="0.2">
      <c r="A112" s="75" t="s">
        <v>95</v>
      </c>
      <c r="B112" s="75"/>
      <c r="C112" s="84" t="s">
        <v>89</v>
      </c>
      <c r="D112" s="85"/>
      <c r="E112" s="76">
        <v>2000</v>
      </c>
      <c r="F112" s="76"/>
      <c r="G112" s="57">
        <f>MROUND(3525*$I$4,5)</f>
        <v>5635</v>
      </c>
      <c r="H112" s="57"/>
      <c r="I112" s="58">
        <f t="shared" ref="I112:I134" si="2">ROUND(G112*$J$108,0)</f>
        <v>5635</v>
      </c>
      <c r="J112" s="58"/>
      <c r="M112" s="20"/>
    </row>
    <row r="113" spans="1:13" ht="15" customHeight="1" x14ac:dyDescent="0.2">
      <c r="A113" s="75"/>
      <c r="B113" s="75"/>
      <c r="C113" s="84" t="s">
        <v>73</v>
      </c>
      <c r="D113" s="85"/>
      <c r="E113" s="76"/>
      <c r="F113" s="76"/>
      <c r="G113" s="57">
        <f>MROUND(3725*$I$4,5)</f>
        <v>5955</v>
      </c>
      <c r="H113" s="57"/>
      <c r="I113" s="58">
        <f t="shared" si="2"/>
        <v>5955</v>
      </c>
      <c r="J113" s="58"/>
      <c r="M113" s="20"/>
    </row>
    <row r="114" spans="1:13" ht="15" customHeight="1" x14ac:dyDescent="0.2">
      <c r="A114" s="75"/>
      <c r="B114" s="75"/>
      <c r="C114" s="84" t="s">
        <v>90</v>
      </c>
      <c r="D114" s="85"/>
      <c r="E114" s="76"/>
      <c r="F114" s="76"/>
      <c r="G114" s="57">
        <f>MROUND(3975*$I$4,5)</f>
        <v>6355</v>
      </c>
      <c r="H114" s="57"/>
      <c r="I114" s="58">
        <f t="shared" si="2"/>
        <v>6355</v>
      </c>
      <c r="J114" s="58"/>
      <c r="M114" s="20"/>
    </row>
    <row r="115" spans="1:13" ht="15" customHeight="1" x14ac:dyDescent="0.2">
      <c r="A115" s="75"/>
      <c r="B115" s="75"/>
      <c r="C115" s="84" t="s">
        <v>91</v>
      </c>
      <c r="D115" s="85"/>
      <c r="E115" s="76"/>
      <c r="F115" s="76"/>
      <c r="G115" s="57">
        <f>MROUND(4285*$I$4,5)</f>
        <v>6850</v>
      </c>
      <c r="H115" s="57"/>
      <c r="I115" s="58">
        <f t="shared" si="2"/>
        <v>6850</v>
      </c>
      <c r="J115" s="58"/>
      <c r="M115" s="20"/>
    </row>
    <row r="116" spans="1:13" ht="15" customHeight="1" x14ac:dyDescent="0.2">
      <c r="A116" s="75"/>
      <c r="B116" s="75"/>
      <c r="C116" s="84" t="s">
        <v>92</v>
      </c>
      <c r="D116" s="85"/>
      <c r="E116" s="76"/>
      <c r="F116" s="76"/>
      <c r="G116" s="57">
        <f>MROUND(4500*$I$4,5)</f>
        <v>7195</v>
      </c>
      <c r="H116" s="57"/>
      <c r="I116" s="58">
        <f t="shared" si="2"/>
        <v>7195</v>
      </c>
      <c r="J116" s="58"/>
      <c r="M116" s="20"/>
    </row>
    <row r="117" spans="1:13" ht="15" customHeight="1" x14ac:dyDescent="0.2">
      <c r="A117" s="75"/>
      <c r="B117" s="75"/>
      <c r="C117" s="84" t="s">
        <v>93</v>
      </c>
      <c r="D117" s="85"/>
      <c r="E117" s="76"/>
      <c r="F117" s="76"/>
      <c r="G117" s="57">
        <f>MROUND(4935*$I$4,5)</f>
        <v>7890</v>
      </c>
      <c r="H117" s="57"/>
      <c r="I117" s="58">
        <f t="shared" si="2"/>
        <v>7890</v>
      </c>
      <c r="J117" s="58"/>
      <c r="M117" s="20"/>
    </row>
    <row r="118" spans="1:13" ht="15" customHeight="1" x14ac:dyDescent="0.2">
      <c r="A118" s="75"/>
      <c r="B118" s="75"/>
      <c r="C118" s="84" t="s">
        <v>74</v>
      </c>
      <c r="D118" s="85"/>
      <c r="E118" s="76"/>
      <c r="F118" s="76"/>
      <c r="G118" s="57">
        <f>MROUND(5220*$I$4,5)</f>
        <v>8345</v>
      </c>
      <c r="H118" s="57"/>
      <c r="I118" s="58">
        <f t="shared" si="2"/>
        <v>8345</v>
      </c>
      <c r="J118" s="58"/>
      <c r="M118" s="20"/>
    </row>
    <row r="119" spans="1:13" ht="15" customHeight="1" x14ac:dyDescent="0.2">
      <c r="A119" s="75"/>
      <c r="B119" s="75"/>
      <c r="C119" s="84" t="s">
        <v>75</v>
      </c>
      <c r="D119" s="85"/>
      <c r="E119" s="76"/>
      <c r="F119" s="76"/>
      <c r="G119" s="57">
        <f>MROUND(5705*$I$4,5)</f>
        <v>9120</v>
      </c>
      <c r="H119" s="57"/>
      <c r="I119" s="58">
        <f t="shared" si="2"/>
        <v>9120</v>
      </c>
      <c r="J119" s="58"/>
      <c r="M119" s="20"/>
    </row>
    <row r="120" spans="1:13" ht="15" customHeight="1" x14ac:dyDescent="0.2">
      <c r="A120" s="75"/>
      <c r="B120" s="75"/>
      <c r="C120" s="84" t="s">
        <v>76</v>
      </c>
      <c r="D120" s="85"/>
      <c r="E120" s="76"/>
      <c r="F120" s="76"/>
      <c r="G120" s="57">
        <f>MROUND(6095*$I$4,5)</f>
        <v>9740</v>
      </c>
      <c r="H120" s="57"/>
      <c r="I120" s="58">
        <f t="shared" si="2"/>
        <v>9740</v>
      </c>
      <c r="J120" s="58"/>
      <c r="M120" s="20"/>
    </row>
    <row r="121" spans="1:13" ht="15" customHeight="1" x14ac:dyDescent="0.2">
      <c r="A121" s="75"/>
      <c r="B121" s="75"/>
      <c r="C121" s="84" t="s">
        <v>77</v>
      </c>
      <c r="D121" s="85"/>
      <c r="E121" s="76"/>
      <c r="F121" s="76"/>
      <c r="G121" s="57">
        <f>MROUND(6585*$I$4,5)</f>
        <v>10525</v>
      </c>
      <c r="H121" s="57"/>
      <c r="I121" s="58">
        <f t="shared" si="2"/>
        <v>10525</v>
      </c>
      <c r="J121" s="58"/>
      <c r="M121" s="20"/>
    </row>
    <row r="122" spans="1:13" ht="15" customHeight="1" x14ac:dyDescent="0.2">
      <c r="A122" s="75"/>
      <c r="B122" s="75"/>
      <c r="C122" s="84" t="s">
        <v>78</v>
      </c>
      <c r="D122" s="85"/>
      <c r="E122" s="76"/>
      <c r="F122" s="76"/>
      <c r="G122" s="57">
        <f>MROUND(6945*$I$4,5)</f>
        <v>11100</v>
      </c>
      <c r="H122" s="57"/>
      <c r="I122" s="58">
        <f t="shared" si="2"/>
        <v>11100</v>
      </c>
      <c r="J122" s="58"/>
      <c r="M122" s="20"/>
    </row>
    <row r="123" spans="1:13" ht="15" customHeight="1" x14ac:dyDescent="0.2">
      <c r="A123" s="75"/>
      <c r="B123" s="75"/>
      <c r="C123" s="84" t="s">
        <v>79</v>
      </c>
      <c r="D123" s="85"/>
      <c r="E123" s="76"/>
      <c r="F123" s="76"/>
      <c r="G123" s="57">
        <f>MROUND(7290*$I$4,5)</f>
        <v>11655</v>
      </c>
      <c r="H123" s="57"/>
      <c r="I123" s="58">
        <f t="shared" si="2"/>
        <v>11655</v>
      </c>
      <c r="J123" s="58"/>
      <c r="M123" s="20"/>
    </row>
    <row r="124" spans="1:13" ht="15" customHeight="1" x14ac:dyDescent="0.2">
      <c r="A124" s="75"/>
      <c r="B124" s="75"/>
      <c r="C124" s="84" t="s">
        <v>80</v>
      </c>
      <c r="D124" s="85"/>
      <c r="E124" s="76"/>
      <c r="F124" s="76"/>
      <c r="G124" s="57">
        <f>MROUND(8355*$I$4,5)</f>
        <v>13355</v>
      </c>
      <c r="H124" s="57"/>
      <c r="I124" s="58">
        <f t="shared" si="2"/>
        <v>13355</v>
      </c>
      <c r="J124" s="58"/>
      <c r="M124" s="20"/>
    </row>
    <row r="125" spans="1:13" ht="15" customHeight="1" x14ac:dyDescent="0.2">
      <c r="A125" s="75"/>
      <c r="B125" s="75"/>
      <c r="C125" s="84" t="s">
        <v>81</v>
      </c>
      <c r="D125" s="85"/>
      <c r="E125" s="76"/>
      <c r="F125" s="76"/>
      <c r="G125" s="57">
        <f>MROUND(9115*$I$4,5)</f>
        <v>14570</v>
      </c>
      <c r="H125" s="57"/>
      <c r="I125" s="58">
        <f t="shared" si="2"/>
        <v>14570</v>
      </c>
      <c r="J125" s="58"/>
      <c r="M125" s="20"/>
    </row>
    <row r="126" spans="1:13" ht="15" customHeight="1" x14ac:dyDescent="0.2">
      <c r="A126" s="75"/>
      <c r="B126" s="75"/>
      <c r="C126" s="84" t="s">
        <v>82</v>
      </c>
      <c r="D126" s="85"/>
      <c r="E126" s="76"/>
      <c r="F126" s="76"/>
      <c r="G126" s="57">
        <f>MROUND(10995*$I$4,5)</f>
        <v>17575</v>
      </c>
      <c r="H126" s="57"/>
      <c r="I126" s="58">
        <f t="shared" si="2"/>
        <v>17575</v>
      </c>
      <c r="J126" s="58"/>
      <c r="M126" s="20"/>
    </row>
    <row r="127" spans="1:13" ht="15" customHeight="1" x14ac:dyDescent="0.2">
      <c r="A127" s="75"/>
      <c r="B127" s="75"/>
      <c r="C127" s="84" t="s">
        <v>83</v>
      </c>
      <c r="D127" s="85"/>
      <c r="E127" s="76"/>
      <c r="F127" s="76"/>
      <c r="G127" s="57">
        <f>MROUND(12815*$I$4,5)</f>
        <v>20485</v>
      </c>
      <c r="H127" s="57"/>
      <c r="I127" s="58">
        <f t="shared" si="2"/>
        <v>20485</v>
      </c>
      <c r="J127" s="58"/>
      <c r="M127" s="20"/>
    </row>
    <row r="128" spans="1:13" ht="15" customHeight="1" x14ac:dyDescent="0.2">
      <c r="A128" s="75"/>
      <c r="B128" s="75"/>
      <c r="C128" s="84" t="s">
        <v>84</v>
      </c>
      <c r="D128" s="85"/>
      <c r="E128" s="76"/>
      <c r="F128" s="76"/>
      <c r="G128" s="57">
        <f>MROUND(15385*$I$4,5)</f>
        <v>24590</v>
      </c>
      <c r="H128" s="57"/>
      <c r="I128" s="58">
        <f t="shared" si="2"/>
        <v>24590</v>
      </c>
      <c r="J128" s="58"/>
      <c r="M128" s="20"/>
    </row>
    <row r="129" spans="1:13" ht="15" customHeight="1" x14ac:dyDescent="0.2">
      <c r="A129" s="75"/>
      <c r="B129" s="75"/>
      <c r="C129" s="84" t="s">
        <v>85</v>
      </c>
      <c r="D129" s="85"/>
      <c r="E129" s="76"/>
      <c r="F129" s="76"/>
      <c r="G129" s="57">
        <f>MROUND(16735*$I$4,5)</f>
        <v>26750</v>
      </c>
      <c r="H129" s="57"/>
      <c r="I129" s="58">
        <f t="shared" si="2"/>
        <v>26750</v>
      </c>
      <c r="J129" s="58"/>
      <c r="M129" s="20"/>
    </row>
    <row r="130" spans="1:13" ht="15" customHeight="1" x14ac:dyDescent="0.2">
      <c r="A130" s="75"/>
      <c r="B130" s="75"/>
      <c r="C130" s="84" t="s">
        <v>86</v>
      </c>
      <c r="D130" s="85"/>
      <c r="E130" s="76"/>
      <c r="F130" s="76"/>
      <c r="G130" s="57">
        <f>MROUND(17605*$I$4,5)</f>
        <v>28140</v>
      </c>
      <c r="H130" s="57"/>
      <c r="I130" s="58">
        <f t="shared" si="2"/>
        <v>28140</v>
      </c>
      <c r="J130" s="58"/>
      <c r="M130" s="20"/>
    </row>
    <row r="131" spans="1:13" ht="15" customHeight="1" x14ac:dyDescent="0.2">
      <c r="A131" s="75"/>
      <c r="B131" s="75"/>
      <c r="C131" s="84" t="s">
        <v>87</v>
      </c>
      <c r="D131" s="85"/>
      <c r="E131" s="76"/>
      <c r="F131" s="76"/>
      <c r="G131" s="57">
        <f>MROUND(19795*$I$4,5)</f>
        <v>31640</v>
      </c>
      <c r="H131" s="57"/>
      <c r="I131" s="58">
        <f t="shared" si="2"/>
        <v>31640</v>
      </c>
      <c r="J131" s="58"/>
      <c r="M131" s="20"/>
    </row>
    <row r="132" spans="1:13" ht="15" customHeight="1" x14ac:dyDescent="0.2">
      <c r="A132" s="75"/>
      <c r="B132" s="75"/>
      <c r="C132" s="84" t="s">
        <v>88</v>
      </c>
      <c r="D132" s="85"/>
      <c r="E132" s="76"/>
      <c r="F132" s="76"/>
      <c r="G132" s="57">
        <f>MROUND(21490*$I$4,5)</f>
        <v>34350</v>
      </c>
      <c r="H132" s="57"/>
      <c r="I132" s="58">
        <f t="shared" si="2"/>
        <v>34350</v>
      </c>
      <c r="J132" s="58"/>
      <c r="M132" s="20"/>
    </row>
    <row r="133" spans="1:13" ht="15" customHeight="1" x14ac:dyDescent="0.2">
      <c r="A133" s="75"/>
      <c r="B133" s="75"/>
      <c r="C133" s="84" t="s">
        <v>216</v>
      </c>
      <c r="D133" s="85"/>
      <c r="E133" s="76"/>
      <c r="F133" s="76"/>
      <c r="G133" s="57">
        <f>MROUND(29300*$I$4,5)</f>
        <v>46835</v>
      </c>
      <c r="H133" s="57"/>
      <c r="I133" s="58">
        <f t="shared" si="2"/>
        <v>46835</v>
      </c>
      <c r="J133" s="58"/>
      <c r="M133" s="20"/>
    </row>
    <row r="134" spans="1:13" ht="15" customHeight="1" x14ac:dyDescent="0.2">
      <c r="A134" s="75"/>
      <c r="B134" s="75"/>
      <c r="C134" s="84" t="s">
        <v>217</v>
      </c>
      <c r="D134" s="85"/>
      <c r="E134" s="76"/>
      <c r="F134" s="76"/>
      <c r="G134" s="57">
        <f>MROUND(31900*$I$4,5)</f>
        <v>50990</v>
      </c>
      <c r="H134" s="57"/>
      <c r="I134" s="58">
        <f t="shared" si="2"/>
        <v>50990</v>
      </c>
      <c r="J134" s="58"/>
      <c r="M134" s="20"/>
    </row>
    <row r="135" spans="1:13" ht="15" customHeight="1" x14ac:dyDescent="0.2">
      <c r="A135" s="14"/>
      <c r="B135" s="14"/>
      <c r="C135" s="13"/>
      <c r="D135" s="13"/>
      <c r="E135" s="12"/>
      <c r="F135" s="12"/>
      <c r="G135" s="6"/>
      <c r="H135" s="6"/>
      <c r="I135" s="7"/>
      <c r="J135" s="7"/>
    </row>
    <row r="136" spans="1:13" ht="15" customHeight="1" x14ac:dyDescent="0.2">
      <c r="A136" s="5"/>
      <c r="B136" s="5"/>
      <c r="C136" s="5"/>
      <c r="D136" s="5"/>
      <c r="E136" s="5"/>
      <c r="F136" s="5"/>
      <c r="G136" s="6"/>
      <c r="H136" s="6"/>
      <c r="I136" s="7"/>
      <c r="J136" s="7"/>
    </row>
    <row r="137" spans="1:13" ht="15" customHeight="1" x14ac:dyDescent="0.25">
      <c r="A137" s="59" t="s">
        <v>96</v>
      </c>
      <c r="B137" s="59"/>
      <c r="C137" s="59"/>
      <c r="D137" s="59"/>
      <c r="E137" s="59"/>
      <c r="F137" s="59"/>
      <c r="G137" s="59"/>
      <c r="H137" s="59"/>
      <c r="I137" s="19">
        <v>2</v>
      </c>
      <c r="J137" s="19">
        <v>0.65</v>
      </c>
    </row>
    <row r="138" spans="1:13" ht="15" customHeight="1" x14ac:dyDescent="0.2">
      <c r="A138" s="55" t="s">
        <v>97</v>
      </c>
      <c r="B138" s="55"/>
      <c r="C138" s="55"/>
      <c r="D138" s="55"/>
      <c r="E138" s="55"/>
      <c r="F138" s="55"/>
      <c r="G138" s="55"/>
      <c r="H138" s="55"/>
      <c r="I138" s="55"/>
      <c r="J138" s="55"/>
    </row>
    <row r="139" spans="1:13" ht="15" customHeight="1" x14ac:dyDescent="0.2">
      <c r="A139" s="77" t="s">
        <v>94</v>
      </c>
      <c r="B139" s="78"/>
      <c r="C139" s="9" t="s">
        <v>89</v>
      </c>
      <c r="D139" s="9" t="s">
        <v>73</v>
      </c>
      <c r="E139" s="9" t="s">
        <v>90</v>
      </c>
      <c r="F139" s="9" t="s">
        <v>91</v>
      </c>
      <c r="G139" s="9" t="s">
        <v>92</v>
      </c>
      <c r="H139" s="9" t="s">
        <v>93</v>
      </c>
      <c r="I139" s="9" t="s">
        <v>74</v>
      </c>
      <c r="J139" s="9" t="s">
        <v>75</v>
      </c>
    </row>
    <row r="140" spans="1:13" ht="15" customHeight="1" x14ac:dyDescent="0.2">
      <c r="A140" s="68" t="s">
        <v>174</v>
      </c>
      <c r="B140" s="69"/>
      <c r="C140" s="10">
        <f>MROUND(345*$I$4*$J$108,5)</f>
        <v>550</v>
      </c>
      <c r="D140" s="10">
        <f>MROUND(365*$I$4*$J$108,5)</f>
        <v>585</v>
      </c>
      <c r="E140" s="10">
        <f>MROUND(385*$I$4*$J$108,5)</f>
        <v>615</v>
      </c>
      <c r="F140" s="10">
        <f>MROUND(410*$I$4*$J$108,5)</f>
        <v>655</v>
      </c>
      <c r="G140" s="10">
        <f>MROUND(420*$I$4*$J$108,5)</f>
        <v>670</v>
      </c>
      <c r="H140" s="10">
        <f>MROUND(440*$I$4*$J$108,5)</f>
        <v>705</v>
      </c>
      <c r="I140" s="10">
        <f>MROUND(455*$I$4*$J$108,5)</f>
        <v>725</v>
      </c>
      <c r="J140" s="10">
        <f>MROUND(470*$I$4*$J$108,5)</f>
        <v>750</v>
      </c>
    </row>
    <row r="141" spans="1:13" ht="15" customHeight="1" x14ac:dyDescent="0.2">
      <c r="A141" s="77" t="s">
        <v>94</v>
      </c>
      <c r="B141" s="78"/>
      <c r="C141" s="9" t="s">
        <v>76</v>
      </c>
      <c r="D141" s="9" t="s">
        <v>77</v>
      </c>
      <c r="E141" s="9" t="s">
        <v>78</v>
      </c>
      <c r="F141" s="9" t="s">
        <v>79</v>
      </c>
      <c r="G141" s="9" t="s">
        <v>80</v>
      </c>
      <c r="H141" s="9" t="s">
        <v>81</v>
      </c>
      <c r="I141" s="9" t="s">
        <v>82</v>
      </c>
      <c r="J141" s="9" t="s">
        <v>83</v>
      </c>
    </row>
    <row r="142" spans="1:13" ht="15" customHeight="1" x14ac:dyDescent="0.2">
      <c r="A142" s="68" t="s">
        <v>174</v>
      </c>
      <c r="B142" s="69"/>
      <c r="C142" s="10">
        <f>MROUND(590*$I$4*$J$108,5)</f>
        <v>945</v>
      </c>
      <c r="D142" s="10">
        <f>MROUND(605*$I$4*$J$108,5)</f>
        <v>965</v>
      </c>
      <c r="E142" s="10">
        <f>MROUND(635*$I$4*$J$108,5)</f>
        <v>1015</v>
      </c>
      <c r="F142" s="10">
        <f>MROUND(660*$I$4*$J$108,5)</f>
        <v>1055</v>
      </c>
      <c r="G142" s="10">
        <f>MROUND(850*$I$4*$J$108,5)</f>
        <v>1360</v>
      </c>
      <c r="H142" s="10">
        <f>MROUND(1035*$I$4*$J$108,5)</f>
        <v>1655</v>
      </c>
      <c r="I142" s="10">
        <f>MROUND(1280*$I$4*$J$108,5)</f>
        <v>2045</v>
      </c>
      <c r="J142" s="10">
        <f>MROUND(1420*$I$4*$J$108,5)</f>
        <v>2270</v>
      </c>
    </row>
    <row r="143" spans="1:13" ht="15" customHeight="1" x14ac:dyDescent="0.2">
      <c r="A143" s="77" t="s">
        <v>94</v>
      </c>
      <c r="B143" s="78"/>
      <c r="C143" s="9" t="s">
        <v>84</v>
      </c>
      <c r="D143" s="9" t="s">
        <v>85</v>
      </c>
      <c r="E143" s="9" t="s">
        <v>86</v>
      </c>
      <c r="F143" s="9" t="s">
        <v>87</v>
      </c>
      <c r="G143" s="9" t="s">
        <v>88</v>
      </c>
      <c r="H143" s="9" t="s">
        <v>216</v>
      </c>
      <c r="I143" s="9" t="s">
        <v>217</v>
      </c>
      <c r="J143" s="9" t="s">
        <v>219</v>
      </c>
    </row>
    <row r="144" spans="1:13" ht="15" customHeight="1" x14ac:dyDescent="0.2">
      <c r="A144" s="68" t="s">
        <v>174</v>
      </c>
      <c r="B144" s="69"/>
      <c r="C144" s="10">
        <f>MROUND(1490*$I$4*$J$108,5)</f>
        <v>2380</v>
      </c>
      <c r="D144" s="10">
        <f>MROUND(1530*$I$4*$J$108,5)</f>
        <v>2445</v>
      </c>
      <c r="E144" s="10">
        <f>MROUND(1950*$I$4*$J$108,5)</f>
        <v>3115</v>
      </c>
      <c r="F144" s="10">
        <f>MROUND(2060*$I$4*$J$108,5)</f>
        <v>3295</v>
      </c>
      <c r="G144" s="10">
        <f>MROUND(2170*$I$4*$J$108,5)</f>
        <v>3470</v>
      </c>
      <c r="H144" s="10">
        <f>MROUND(6020*$I$4*$J$108,5)</f>
        <v>9625</v>
      </c>
      <c r="I144" s="24">
        <f>MROUND(8490*$I$4*$J$108,5)</f>
        <v>13570</v>
      </c>
      <c r="J144" s="10" t="s">
        <v>218</v>
      </c>
    </row>
    <row r="145" spans="1:10" ht="15" customHeight="1" x14ac:dyDescent="0.2">
      <c r="A145" s="5"/>
      <c r="B145" s="5"/>
      <c r="C145" s="15"/>
      <c r="D145" s="15"/>
      <c r="E145" s="15"/>
      <c r="F145" s="15"/>
      <c r="G145" s="15"/>
      <c r="H145" s="15"/>
      <c r="I145" s="15"/>
      <c r="J145" s="15"/>
    </row>
    <row r="146" spans="1:10" ht="15" customHeight="1" x14ac:dyDescent="0.2">
      <c r="A146" s="3" t="s">
        <v>31</v>
      </c>
      <c r="B146" s="3"/>
      <c r="C146" s="3"/>
      <c r="D146" s="3"/>
      <c r="E146" s="3"/>
      <c r="F146" s="3"/>
      <c r="G146" s="3"/>
      <c r="H146" s="3"/>
      <c r="I146" s="3"/>
      <c r="J146" s="3"/>
    </row>
    <row r="147" spans="1:10" ht="15" customHeight="1" x14ac:dyDescent="0.2">
      <c r="A147" s="3" t="s">
        <v>32</v>
      </c>
      <c r="B147" s="3"/>
      <c r="C147" s="3"/>
      <c r="D147" s="3"/>
      <c r="E147" s="3"/>
      <c r="F147" s="3"/>
      <c r="G147" s="3"/>
      <c r="H147" s="3"/>
      <c r="I147" s="3"/>
      <c r="J147" s="3"/>
    </row>
    <row r="148" spans="1:10" ht="15" customHeight="1" x14ac:dyDescent="0.2">
      <c r="A148" s="3" t="s">
        <v>34</v>
      </c>
      <c r="B148" s="3"/>
      <c r="C148" s="3"/>
      <c r="D148" s="3"/>
      <c r="E148" s="3"/>
      <c r="F148" s="3"/>
      <c r="G148" s="3"/>
      <c r="H148" s="3"/>
      <c r="I148" s="3"/>
      <c r="J148" s="3"/>
    </row>
    <row r="149" spans="1:10" ht="15" customHeight="1" x14ac:dyDescent="0.2">
      <c r="A149" s="3" t="s">
        <v>35</v>
      </c>
      <c r="B149" s="3"/>
      <c r="C149" s="3"/>
      <c r="D149" s="3"/>
      <c r="E149" s="3"/>
      <c r="F149" s="3"/>
      <c r="G149" s="3"/>
      <c r="H149" s="3"/>
      <c r="I149" s="3"/>
      <c r="J149" s="3"/>
    </row>
    <row r="150" spans="1:10" ht="15" customHeight="1" x14ac:dyDescent="0.2">
      <c r="A150" s="4" t="s">
        <v>33</v>
      </c>
      <c r="B150" s="3"/>
      <c r="C150" s="3"/>
      <c r="D150" s="3"/>
      <c r="E150" s="3"/>
      <c r="F150" s="3"/>
      <c r="G150" s="3"/>
      <c r="H150" s="3"/>
      <c r="I150" s="3"/>
      <c r="J150" s="3"/>
    </row>
    <row r="151" spans="1:10" ht="15" customHeight="1" x14ac:dyDescent="0.2"/>
    <row r="152" spans="1:10" ht="15" customHeight="1" x14ac:dyDescent="0.2"/>
    <row r="153" spans="1:10" ht="15" customHeight="1" x14ac:dyDescent="0.2"/>
    <row r="154" spans="1:10" ht="15" customHeight="1" x14ac:dyDescent="0.2"/>
    <row r="155" spans="1:10" ht="15" customHeight="1" x14ac:dyDescent="0.2"/>
    <row r="156" spans="1:10" ht="15" customHeight="1" x14ac:dyDescent="0.2"/>
    <row r="157" spans="1:10" ht="15" customHeight="1" x14ac:dyDescent="0.2"/>
    <row r="158" spans="1:10" ht="15" customHeight="1" x14ac:dyDescent="0.2"/>
    <row r="159" spans="1:10" ht="15" customHeight="1" x14ac:dyDescent="0.2"/>
    <row r="160" spans="1:1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</sheetData>
  <sheetProtection algorithmName="SHA-512" hashValue="Chd5+gmfq61eaq4DK/qUz2UB9Vw13MpWUuut/hrwF/TKeffzCfs5BTF2rGulCeSyJqdAOclqrpevMPmQGOI6UA==" saltValue="pjgre6b3jkElDaHHiICt6w==" spinCount="100000" sheet="1" objects="1" scenarios="1"/>
  <mergeCells count="270">
    <mergeCell ref="C19:D19"/>
    <mergeCell ref="G19:H19"/>
    <mergeCell ref="I19:J19"/>
    <mergeCell ref="I1:J1"/>
    <mergeCell ref="A6:H7"/>
    <mergeCell ref="I2:J3"/>
    <mergeCell ref="A9:H9"/>
    <mergeCell ref="I9:J9"/>
    <mergeCell ref="A10:J10"/>
    <mergeCell ref="C15:D15"/>
    <mergeCell ref="G15:H15"/>
    <mergeCell ref="I15:J15"/>
    <mergeCell ref="C13:D13"/>
    <mergeCell ref="G13:H13"/>
    <mergeCell ref="I13:J13"/>
    <mergeCell ref="A11:B11"/>
    <mergeCell ref="C11:D11"/>
    <mergeCell ref="E11:F11"/>
    <mergeCell ref="G11:H11"/>
    <mergeCell ref="I11:J11"/>
    <mergeCell ref="C12:D12"/>
    <mergeCell ref="G12:H12"/>
    <mergeCell ref="I12:J12"/>
    <mergeCell ref="C14:D14"/>
    <mergeCell ref="C17:D17"/>
    <mergeCell ref="G17:H17"/>
    <mergeCell ref="I17:J17"/>
    <mergeCell ref="C18:D18"/>
    <mergeCell ref="G18:H18"/>
    <mergeCell ref="I18:J18"/>
    <mergeCell ref="C16:D16"/>
    <mergeCell ref="G16:H16"/>
    <mergeCell ref="I16:J16"/>
    <mergeCell ref="G14:H14"/>
    <mergeCell ref="I14:J14"/>
    <mergeCell ref="C32:D32"/>
    <mergeCell ref="G32:H32"/>
    <mergeCell ref="I32:J32"/>
    <mergeCell ref="C28:D28"/>
    <mergeCell ref="G28:H28"/>
    <mergeCell ref="I28:J28"/>
    <mergeCell ref="C29:D29"/>
    <mergeCell ref="G29:H29"/>
    <mergeCell ref="C20:D20"/>
    <mergeCell ref="G20:H20"/>
    <mergeCell ref="I20:J20"/>
    <mergeCell ref="C21:D21"/>
    <mergeCell ref="C24:D24"/>
    <mergeCell ref="G21:H21"/>
    <mergeCell ref="I21:J21"/>
    <mergeCell ref="C22:D22"/>
    <mergeCell ref="G22:H22"/>
    <mergeCell ref="I22:J22"/>
    <mergeCell ref="C23:D23"/>
    <mergeCell ref="G23:H23"/>
    <mergeCell ref="I23:J23"/>
    <mergeCell ref="I30:J30"/>
    <mergeCell ref="A39:B39"/>
    <mergeCell ref="A40:B40"/>
    <mergeCell ref="A41:B41"/>
    <mergeCell ref="A42:B42"/>
    <mergeCell ref="A43:B43"/>
    <mergeCell ref="I24:J24"/>
    <mergeCell ref="C25:D25"/>
    <mergeCell ref="G25:H25"/>
    <mergeCell ref="I25:J25"/>
    <mergeCell ref="I51:J51"/>
    <mergeCell ref="A37:H37"/>
    <mergeCell ref="A38:J38"/>
    <mergeCell ref="I29:J29"/>
    <mergeCell ref="C30:D30"/>
    <mergeCell ref="G30:H30"/>
    <mergeCell ref="C26:D26"/>
    <mergeCell ref="G26:H26"/>
    <mergeCell ref="I26:J26"/>
    <mergeCell ref="C27:D27"/>
    <mergeCell ref="G27:H27"/>
    <mergeCell ref="I27:J27"/>
    <mergeCell ref="C33:D33"/>
    <mergeCell ref="C34:D34"/>
    <mergeCell ref="G33:H33"/>
    <mergeCell ref="I33:J33"/>
    <mergeCell ref="G34:H34"/>
    <mergeCell ref="I34:J34"/>
    <mergeCell ref="E12:F34"/>
    <mergeCell ref="A12:B34"/>
    <mergeCell ref="C31:D31"/>
    <mergeCell ref="G31:H31"/>
    <mergeCell ref="I31:J31"/>
    <mergeCell ref="G24:H24"/>
    <mergeCell ref="I52:J53"/>
    <mergeCell ref="A59:H59"/>
    <mergeCell ref="I59:J59"/>
    <mergeCell ref="A60:J60"/>
    <mergeCell ref="A61:B61"/>
    <mergeCell ref="C61:D61"/>
    <mergeCell ref="E61:F61"/>
    <mergeCell ref="G61:H61"/>
    <mergeCell ref="I61:J61"/>
    <mergeCell ref="I64:J64"/>
    <mergeCell ref="C65:D65"/>
    <mergeCell ref="G65:H65"/>
    <mergeCell ref="I65:J65"/>
    <mergeCell ref="C66:D66"/>
    <mergeCell ref="G66:H66"/>
    <mergeCell ref="I66:J66"/>
    <mergeCell ref="C62:D62"/>
    <mergeCell ref="G62:H62"/>
    <mergeCell ref="I62:J62"/>
    <mergeCell ref="C63:D63"/>
    <mergeCell ref="G63:H63"/>
    <mergeCell ref="I63:J63"/>
    <mergeCell ref="C64:D64"/>
    <mergeCell ref="G64:H64"/>
    <mergeCell ref="I69:J69"/>
    <mergeCell ref="C70:D70"/>
    <mergeCell ref="G70:H70"/>
    <mergeCell ref="I70:J70"/>
    <mergeCell ref="C71:D71"/>
    <mergeCell ref="G71:H71"/>
    <mergeCell ref="C67:D67"/>
    <mergeCell ref="G67:H67"/>
    <mergeCell ref="I67:J67"/>
    <mergeCell ref="C68:D68"/>
    <mergeCell ref="G68:H68"/>
    <mergeCell ref="I68:J68"/>
    <mergeCell ref="I74:J74"/>
    <mergeCell ref="C75:D75"/>
    <mergeCell ref="G75:H75"/>
    <mergeCell ref="I75:J75"/>
    <mergeCell ref="I71:J71"/>
    <mergeCell ref="C72:D72"/>
    <mergeCell ref="G72:H72"/>
    <mergeCell ref="I72:J72"/>
    <mergeCell ref="C73:D73"/>
    <mergeCell ref="G73:H73"/>
    <mergeCell ref="I73:J73"/>
    <mergeCell ref="C78:D78"/>
    <mergeCell ref="G78:H78"/>
    <mergeCell ref="I78:J78"/>
    <mergeCell ref="I79:J79"/>
    <mergeCell ref="C80:D80"/>
    <mergeCell ref="G80:H80"/>
    <mergeCell ref="C76:D76"/>
    <mergeCell ref="G76:H76"/>
    <mergeCell ref="I76:J76"/>
    <mergeCell ref="C77:D77"/>
    <mergeCell ref="G77:H77"/>
    <mergeCell ref="I77:J77"/>
    <mergeCell ref="I101:J101"/>
    <mergeCell ref="A87:H87"/>
    <mergeCell ref="A88:J88"/>
    <mergeCell ref="I80:J80"/>
    <mergeCell ref="C81:D81"/>
    <mergeCell ref="G81:H81"/>
    <mergeCell ref="I81:J81"/>
    <mergeCell ref="C82:D82"/>
    <mergeCell ref="G82:H82"/>
    <mergeCell ref="I82:J82"/>
    <mergeCell ref="I102:J103"/>
    <mergeCell ref="A109:H109"/>
    <mergeCell ref="I109:J109"/>
    <mergeCell ref="A110:J110"/>
    <mergeCell ref="A111:B111"/>
    <mergeCell ref="C111:D111"/>
    <mergeCell ref="E111:F111"/>
    <mergeCell ref="G111:H111"/>
    <mergeCell ref="I111:J111"/>
    <mergeCell ref="I114:J114"/>
    <mergeCell ref="C115:D115"/>
    <mergeCell ref="G115:H115"/>
    <mergeCell ref="I115:J115"/>
    <mergeCell ref="C116:D116"/>
    <mergeCell ref="G116:H116"/>
    <mergeCell ref="I116:J116"/>
    <mergeCell ref="C112:D112"/>
    <mergeCell ref="G112:H112"/>
    <mergeCell ref="I112:J112"/>
    <mergeCell ref="C113:D113"/>
    <mergeCell ref="G113:H113"/>
    <mergeCell ref="I113:J113"/>
    <mergeCell ref="C114:D114"/>
    <mergeCell ref="G114:H114"/>
    <mergeCell ref="C119:D119"/>
    <mergeCell ref="G119:H119"/>
    <mergeCell ref="I119:J119"/>
    <mergeCell ref="C120:D120"/>
    <mergeCell ref="G120:H120"/>
    <mergeCell ref="I120:J120"/>
    <mergeCell ref="C121:D121"/>
    <mergeCell ref="G121:H121"/>
    <mergeCell ref="C117:D117"/>
    <mergeCell ref="G117:H117"/>
    <mergeCell ref="I117:J117"/>
    <mergeCell ref="C118:D118"/>
    <mergeCell ref="G118:H118"/>
    <mergeCell ref="I118:J118"/>
    <mergeCell ref="C124:D124"/>
    <mergeCell ref="G124:H124"/>
    <mergeCell ref="I124:J124"/>
    <mergeCell ref="C125:D125"/>
    <mergeCell ref="G125:H125"/>
    <mergeCell ref="I125:J125"/>
    <mergeCell ref="I121:J121"/>
    <mergeCell ref="C122:D122"/>
    <mergeCell ref="G122:H122"/>
    <mergeCell ref="I122:J122"/>
    <mergeCell ref="C123:D123"/>
    <mergeCell ref="G123:H123"/>
    <mergeCell ref="I123:J123"/>
    <mergeCell ref="I128:J128"/>
    <mergeCell ref="C129:D129"/>
    <mergeCell ref="G129:H129"/>
    <mergeCell ref="I129:J129"/>
    <mergeCell ref="C130:D130"/>
    <mergeCell ref="G130:H130"/>
    <mergeCell ref="C126:D126"/>
    <mergeCell ref="G126:H126"/>
    <mergeCell ref="I126:J126"/>
    <mergeCell ref="C127:D127"/>
    <mergeCell ref="G127:H127"/>
    <mergeCell ref="I127:J127"/>
    <mergeCell ref="A144:B144"/>
    <mergeCell ref="A139:B139"/>
    <mergeCell ref="A140:B140"/>
    <mergeCell ref="A141:B141"/>
    <mergeCell ref="A142:B142"/>
    <mergeCell ref="A143:B143"/>
    <mergeCell ref="A44:B44"/>
    <mergeCell ref="A94:B94"/>
    <mergeCell ref="A106:H107"/>
    <mergeCell ref="A89:B89"/>
    <mergeCell ref="A90:B90"/>
    <mergeCell ref="A91:B91"/>
    <mergeCell ref="A92:B92"/>
    <mergeCell ref="A93:B93"/>
    <mergeCell ref="C79:D79"/>
    <mergeCell ref="G79:H79"/>
    <mergeCell ref="C74:D74"/>
    <mergeCell ref="G74:H74"/>
    <mergeCell ref="C69:D69"/>
    <mergeCell ref="G69:H69"/>
    <mergeCell ref="A56:H57"/>
    <mergeCell ref="A137:H137"/>
    <mergeCell ref="A138:J138"/>
    <mergeCell ref="I130:J130"/>
    <mergeCell ref="C133:D133"/>
    <mergeCell ref="C134:D134"/>
    <mergeCell ref="G133:H133"/>
    <mergeCell ref="I133:J133"/>
    <mergeCell ref="G134:H134"/>
    <mergeCell ref="I134:J134"/>
    <mergeCell ref="E112:F134"/>
    <mergeCell ref="A112:B134"/>
    <mergeCell ref="C83:D83"/>
    <mergeCell ref="C84:D84"/>
    <mergeCell ref="G83:H83"/>
    <mergeCell ref="I83:J83"/>
    <mergeCell ref="G84:H84"/>
    <mergeCell ref="I84:J84"/>
    <mergeCell ref="E62:F84"/>
    <mergeCell ref="A62:B84"/>
    <mergeCell ref="C131:D131"/>
    <mergeCell ref="G131:H131"/>
    <mergeCell ref="I131:J131"/>
    <mergeCell ref="C132:D132"/>
    <mergeCell ref="G132:H132"/>
    <mergeCell ref="I132:J132"/>
    <mergeCell ref="C128:D128"/>
    <mergeCell ref="G128:H128"/>
  </mergeCells>
  <printOptions horizontalCentered="1"/>
  <pageMargins left="0.59055118110236227" right="0.59055118110236227" top="0.78740157480314965" bottom="0.78740157480314965" header="0.39370078740157483" footer="0.39370078740157483"/>
  <pageSetup paperSize="9" scale="93" orientation="portrait" r:id="rId1"/>
  <headerFooter>
    <oddFooter xml:space="preserve">&amp;L&amp;"Arial,Obyčejné"&amp;10   ITS097-01, © Greif-akustika, s.r.o.&amp;R&amp;"Arial,Obyčejné"&amp;10List &amp;P/&amp;N    </oddFooter>
  </headerFooter>
  <rowBreaks count="2" manualBreakCount="2">
    <brk id="50" max="9" man="1"/>
    <brk id="100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theme="5" tint="-0.249977111117893"/>
  </sheetPr>
  <dimension ref="A1:L2000"/>
  <sheetViews>
    <sheetView showGridLines="0" view="pageBreakPreview" zoomScale="120" zoomScaleNormal="120" zoomScaleSheetLayoutView="120" workbookViewId="0">
      <selection activeCell="I2" sqref="I2:J3"/>
    </sheetView>
  </sheetViews>
  <sheetFormatPr defaultColWidth="9" defaultRowHeight="14.25" x14ac:dyDescent="0.2"/>
  <cols>
    <col min="1" max="25" width="8.625" style="1" customWidth="1"/>
    <col min="26" max="16384" width="9" style="1"/>
  </cols>
  <sheetData>
    <row r="1" spans="1:12" ht="15" customHeight="1" thickBot="1" x14ac:dyDescent="0.25">
      <c r="I1" s="49" t="s">
        <v>2</v>
      </c>
      <c r="J1" s="49"/>
    </row>
    <row r="2" spans="1:12" ht="15" customHeight="1" x14ac:dyDescent="0.2">
      <c r="I2" s="63">
        <f>'Buňky G-GE-GH'!I2:J3</f>
        <v>0</v>
      </c>
      <c r="J2" s="64"/>
    </row>
    <row r="3" spans="1:12" ht="15" customHeight="1" thickBot="1" x14ac:dyDescent="0.25">
      <c r="I3" s="65"/>
      <c r="J3" s="66"/>
    </row>
    <row r="4" spans="1:12" ht="15" customHeight="1" x14ac:dyDescent="0.2">
      <c r="I4" s="23">
        <f>1*1.03*1.03*1.03*1.2*1.15*1.06</f>
        <v>1.5984410555999999</v>
      </c>
      <c r="J4" s="23">
        <f>1-I2</f>
        <v>1</v>
      </c>
    </row>
    <row r="5" spans="1:12" ht="15" customHeight="1" x14ac:dyDescent="0.2"/>
    <row r="6" spans="1:12" ht="15" customHeight="1" x14ac:dyDescent="0.2">
      <c r="A6" s="50" t="s">
        <v>98</v>
      </c>
      <c r="B6" s="50"/>
      <c r="C6" s="50"/>
      <c r="D6" s="50"/>
      <c r="E6" s="50"/>
      <c r="F6" s="50"/>
      <c r="G6" s="50"/>
      <c r="H6" s="50"/>
    </row>
    <row r="7" spans="1:12" ht="15" customHeight="1" x14ac:dyDescent="0.2">
      <c r="A7" s="50"/>
      <c r="B7" s="50"/>
      <c r="C7" s="50"/>
      <c r="D7" s="50"/>
      <c r="E7" s="50"/>
      <c r="F7" s="50"/>
      <c r="G7" s="50"/>
      <c r="H7" s="50"/>
    </row>
    <row r="8" spans="1:12" ht="15" customHeight="1" x14ac:dyDescent="0.2"/>
    <row r="9" spans="1:12" ht="15" customHeight="1" x14ac:dyDescent="0.25">
      <c r="A9" s="59" t="s">
        <v>99</v>
      </c>
      <c r="B9" s="59"/>
      <c r="C9" s="59"/>
      <c r="D9" s="59"/>
      <c r="E9" s="59"/>
      <c r="F9" s="59"/>
      <c r="G9" s="59"/>
      <c r="H9" s="59"/>
      <c r="I9" s="67" t="s">
        <v>70</v>
      </c>
      <c r="J9" s="67"/>
    </row>
    <row r="10" spans="1:12" ht="15" customHeight="1" x14ac:dyDescent="0.2">
      <c r="A10" s="55" t="s">
        <v>46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2" ht="15" customHeight="1" x14ac:dyDescent="0.25">
      <c r="A11" s="62" t="s">
        <v>4</v>
      </c>
      <c r="B11" s="62"/>
      <c r="C11" s="62" t="s">
        <v>72</v>
      </c>
      <c r="D11" s="62"/>
      <c r="E11" s="62" t="s">
        <v>42</v>
      </c>
      <c r="F11" s="62"/>
      <c r="G11" s="62" t="s">
        <v>175</v>
      </c>
      <c r="H11" s="62"/>
      <c r="I11" s="62" t="s">
        <v>39</v>
      </c>
      <c r="J11" s="62"/>
      <c r="L11" s="20"/>
    </row>
    <row r="12" spans="1:12" ht="15" customHeight="1" x14ac:dyDescent="0.2">
      <c r="A12" s="75" t="s">
        <v>100</v>
      </c>
      <c r="B12" s="75"/>
      <c r="C12" s="84" t="s">
        <v>74</v>
      </c>
      <c r="D12" s="85"/>
      <c r="E12" s="76">
        <v>1000</v>
      </c>
      <c r="F12" s="76"/>
      <c r="G12" s="57">
        <f>MROUND(3890*$I$4,5)</f>
        <v>6220</v>
      </c>
      <c r="H12" s="57"/>
      <c r="I12" s="58">
        <f t="shared" ref="I12:I28" si="0">ROUND(G12*$J$4,0)</f>
        <v>6220</v>
      </c>
      <c r="J12" s="58"/>
      <c r="L12" s="20"/>
    </row>
    <row r="13" spans="1:12" ht="15" customHeight="1" x14ac:dyDescent="0.2">
      <c r="A13" s="75"/>
      <c r="B13" s="75"/>
      <c r="C13" s="84" t="s">
        <v>75</v>
      </c>
      <c r="D13" s="85"/>
      <c r="E13" s="76"/>
      <c r="F13" s="76"/>
      <c r="G13" s="57">
        <f>MROUND(4285*$I$4,5)</f>
        <v>6850</v>
      </c>
      <c r="H13" s="57"/>
      <c r="I13" s="58">
        <f t="shared" si="0"/>
        <v>6850</v>
      </c>
      <c r="J13" s="58"/>
      <c r="L13" s="20"/>
    </row>
    <row r="14" spans="1:12" ht="15" customHeight="1" x14ac:dyDescent="0.2">
      <c r="A14" s="75"/>
      <c r="B14" s="75"/>
      <c r="C14" s="84" t="s">
        <v>76</v>
      </c>
      <c r="D14" s="85"/>
      <c r="E14" s="76"/>
      <c r="F14" s="76"/>
      <c r="G14" s="57">
        <f>MROUND(4550*$I$4,5)</f>
        <v>7275</v>
      </c>
      <c r="H14" s="57"/>
      <c r="I14" s="58">
        <f t="shared" si="0"/>
        <v>7275</v>
      </c>
      <c r="J14" s="58"/>
      <c r="L14" s="20"/>
    </row>
    <row r="15" spans="1:12" ht="15" customHeight="1" x14ac:dyDescent="0.2">
      <c r="A15" s="75"/>
      <c r="B15" s="75"/>
      <c r="C15" s="84" t="s">
        <v>77</v>
      </c>
      <c r="D15" s="85"/>
      <c r="E15" s="76"/>
      <c r="F15" s="76"/>
      <c r="G15" s="57">
        <f>MROUND(5035*$I$4,5)</f>
        <v>8050</v>
      </c>
      <c r="H15" s="57"/>
      <c r="I15" s="58">
        <f t="shared" si="0"/>
        <v>8050</v>
      </c>
      <c r="J15" s="58"/>
      <c r="L15" s="20"/>
    </row>
    <row r="16" spans="1:12" ht="15" customHeight="1" x14ac:dyDescent="0.2">
      <c r="A16" s="75"/>
      <c r="B16" s="75"/>
      <c r="C16" s="84" t="s">
        <v>78</v>
      </c>
      <c r="D16" s="85"/>
      <c r="E16" s="76"/>
      <c r="F16" s="76"/>
      <c r="G16" s="57">
        <f>MROUND(5330*$I$4,5)</f>
        <v>8520</v>
      </c>
      <c r="H16" s="57"/>
      <c r="I16" s="58">
        <f t="shared" si="0"/>
        <v>8520</v>
      </c>
      <c r="J16" s="58"/>
      <c r="L16" s="20"/>
    </row>
    <row r="17" spans="1:12" ht="15" customHeight="1" x14ac:dyDescent="0.2">
      <c r="A17" s="75"/>
      <c r="B17" s="75"/>
      <c r="C17" s="84" t="s">
        <v>79</v>
      </c>
      <c r="D17" s="85"/>
      <c r="E17" s="76"/>
      <c r="F17" s="76"/>
      <c r="G17" s="57">
        <f>MROUND(5545*$I$4,5)</f>
        <v>8865</v>
      </c>
      <c r="H17" s="57"/>
      <c r="I17" s="58">
        <f t="shared" si="0"/>
        <v>8865</v>
      </c>
      <c r="J17" s="58"/>
      <c r="L17" s="20"/>
    </row>
    <row r="18" spans="1:12" ht="15" customHeight="1" x14ac:dyDescent="0.2">
      <c r="A18" s="75"/>
      <c r="B18" s="75"/>
      <c r="C18" s="84" t="s">
        <v>80</v>
      </c>
      <c r="D18" s="85"/>
      <c r="E18" s="76"/>
      <c r="F18" s="76"/>
      <c r="G18" s="57">
        <f>MROUND(6365*$I$4,5)</f>
        <v>10175</v>
      </c>
      <c r="H18" s="57"/>
      <c r="I18" s="58">
        <f t="shared" si="0"/>
        <v>10175</v>
      </c>
      <c r="J18" s="58"/>
      <c r="L18" s="20"/>
    </row>
    <row r="19" spans="1:12" ht="15" customHeight="1" x14ac:dyDescent="0.2">
      <c r="A19" s="75"/>
      <c r="B19" s="75"/>
      <c r="C19" s="84" t="s">
        <v>81</v>
      </c>
      <c r="D19" s="85"/>
      <c r="E19" s="76"/>
      <c r="F19" s="76"/>
      <c r="G19" s="57">
        <f>MROUND(6945*$I$4,5)</f>
        <v>11100</v>
      </c>
      <c r="H19" s="57"/>
      <c r="I19" s="58">
        <f t="shared" si="0"/>
        <v>11100</v>
      </c>
      <c r="J19" s="58"/>
      <c r="L19" s="20"/>
    </row>
    <row r="20" spans="1:12" ht="15" customHeight="1" x14ac:dyDescent="0.2">
      <c r="A20" s="75"/>
      <c r="B20" s="75"/>
      <c r="C20" s="84" t="s">
        <v>82</v>
      </c>
      <c r="D20" s="85"/>
      <c r="E20" s="76"/>
      <c r="F20" s="76"/>
      <c r="G20" s="57">
        <f>MROUND(8785*$I$4,5)</f>
        <v>14040</v>
      </c>
      <c r="H20" s="57"/>
      <c r="I20" s="58">
        <f t="shared" si="0"/>
        <v>14040</v>
      </c>
      <c r="J20" s="58"/>
      <c r="L20" s="20"/>
    </row>
    <row r="21" spans="1:12" ht="15" customHeight="1" x14ac:dyDescent="0.2">
      <c r="A21" s="75"/>
      <c r="B21" s="75"/>
      <c r="C21" s="84" t="s">
        <v>83</v>
      </c>
      <c r="D21" s="85"/>
      <c r="E21" s="76"/>
      <c r="F21" s="76"/>
      <c r="G21" s="57">
        <f>MROUND(10230*$I$4,5)</f>
        <v>16350</v>
      </c>
      <c r="H21" s="57"/>
      <c r="I21" s="58">
        <f t="shared" si="0"/>
        <v>16350</v>
      </c>
      <c r="J21" s="58"/>
      <c r="L21" s="20"/>
    </row>
    <row r="22" spans="1:12" ht="15" customHeight="1" x14ac:dyDescent="0.2">
      <c r="A22" s="75"/>
      <c r="B22" s="75"/>
      <c r="C22" s="84" t="s">
        <v>84</v>
      </c>
      <c r="D22" s="85"/>
      <c r="E22" s="76"/>
      <c r="F22" s="76"/>
      <c r="G22" s="57">
        <f>MROUND(12855*$I$4,5)</f>
        <v>20550</v>
      </c>
      <c r="H22" s="57"/>
      <c r="I22" s="58">
        <f t="shared" si="0"/>
        <v>20550</v>
      </c>
      <c r="J22" s="58"/>
      <c r="L22" s="20"/>
    </row>
    <row r="23" spans="1:12" ht="15" customHeight="1" x14ac:dyDescent="0.2">
      <c r="A23" s="75"/>
      <c r="B23" s="75"/>
      <c r="C23" s="84" t="s">
        <v>85</v>
      </c>
      <c r="D23" s="85"/>
      <c r="E23" s="76"/>
      <c r="F23" s="76"/>
      <c r="G23" s="57">
        <f>MROUND(13580*$I$4,5)</f>
        <v>21705</v>
      </c>
      <c r="H23" s="57"/>
      <c r="I23" s="58">
        <f t="shared" si="0"/>
        <v>21705</v>
      </c>
      <c r="J23" s="58"/>
      <c r="L23" s="20"/>
    </row>
    <row r="24" spans="1:12" ht="15" customHeight="1" x14ac:dyDescent="0.2">
      <c r="A24" s="75"/>
      <c r="B24" s="75"/>
      <c r="C24" s="84" t="s">
        <v>86</v>
      </c>
      <c r="D24" s="85"/>
      <c r="E24" s="76"/>
      <c r="F24" s="76"/>
      <c r="G24" s="57">
        <f>MROUND(14165*$I$4,5)</f>
        <v>22640</v>
      </c>
      <c r="H24" s="57"/>
      <c r="I24" s="58">
        <f t="shared" si="0"/>
        <v>22640</v>
      </c>
      <c r="J24" s="58"/>
      <c r="L24" s="20"/>
    </row>
    <row r="25" spans="1:12" ht="15" customHeight="1" x14ac:dyDescent="0.2">
      <c r="A25" s="75"/>
      <c r="B25" s="75"/>
      <c r="C25" s="84" t="s">
        <v>87</v>
      </c>
      <c r="D25" s="85"/>
      <c r="E25" s="76"/>
      <c r="F25" s="76"/>
      <c r="G25" s="57">
        <f>MROUND(16165*$I$4,5)</f>
        <v>25840</v>
      </c>
      <c r="H25" s="57"/>
      <c r="I25" s="58">
        <f t="shared" si="0"/>
        <v>25840</v>
      </c>
      <c r="J25" s="58"/>
      <c r="L25" s="20"/>
    </row>
    <row r="26" spans="1:12" ht="15" customHeight="1" x14ac:dyDescent="0.2">
      <c r="A26" s="75"/>
      <c r="B26" s="75"/>
      <c r="C26" s="84" t="s">
        <v>88</v>
      </c>
      <c r="D26" s="85"/>
      <c r="E26" s="76"/>
      <c r="F26" s="76"/>
      <c r="G26" s="57">
        <f>MROUND(17685*$I$4,5)</f>
        <v>28270</v>
      </c>
      <c r="H26" s="57"/>
      <c r="I26" s="58">
        <f t="shared" si="0"/>
        <v>28270</v>
      </c>
      <c r="J26" s="58"/>
      <c r="L26" s="20"/>
    </row>
    <row r="27" spans="1:12" ht="15" customHeight="1" x14ac:dyDescent="0.2">
      <c r="A27" s="75"/>
      <c r="B27" s="75"/>
      <c r="C27" s="84" t="s">
        <v>216</v>
      </c>
      <c r="D27" s="85"/>
      <c r="E27" s="76"/>
      <c r="F27" s="76"/>
      <c r="G27" s="57">
        <f>MROUND(24500*$I$4,5)</f>
        <v>39160</v>
      </c>
      <c r="H27" s="57"/>
      <c r="I27" s="58">
        <f t="shared" si="0"/>
        <v>39160</v>
      </c>
      <c r="J27" s="58"/>
      <c r="L27" s="20"/>
    </row>
    <row r="28" spans="1:12" ht="15" customHeight="1" x14ac:dyDescent="0.2">
      <c r="A28" s="75"/>
      <c r="B28" s="75"/>
      <c r="C28" s="84" t="s">
        <v>217</v>
      </c>
      <c r="D28" s="85"/>
      <c r="E28" s="76"/>
      <c r="F28" s="76"/>
      <c r="G28" s="57">
        <f>MROUND(28500*$I$4,5)</f>
        <v>45555</v>
      </c>
      <c r="H28" s="57"/>
      <c r="I28" s="58">
        <f t="shared" si="0"/>
        <v>45555</v>
      </c>
      <c r="J28" s="58"/>
      <c r="L28" s="20"/>
    </row>
    <row r="29" spans="1:12" ht="15" customHeight="1" x14ac:dyDescent="0.2"/>
    <row r="30" spans="1:12" ht="15" customHeight="1" x14ac:dyDescent="0.2"/>
    <row r="31" spans="1:12" ht="15" customHeight="1" x14ac:dyDescent="0.2"/>
    <row r="32" spans="1:12" ht="15" customHeight="1" x14ac:dyDescent="0.2"/>
    <row r="33" spans="1:10" ht="15" customHeight="1" x14ac:dyDescent="0.2"/>
    <row r="34" spans="1:10" ht="15" customHeight="1" x14ac:dyDescent="0.2">
      <c r="A34" s="3"/>
      <c r="B34" s="5"/>
      <c r="C34" s="15"/>
      <c r="D34" s="15"/>
      <c r="E34" s="15"/>
      <c r="F34" s="15"/>
      <c r="G34" s="15"/>
      <c r="H34" s="15"/>
      <c r="I34" s="15"/>
      <c r="J34" s="15"/>
    </row>
    <row r="35" spans="1:10" ht="15" customHeight="1" x14ac:dyDescent="0.2">
      <c r="A35" s="3"/>
      <c r="B35" s="5"/>
      <c r="C35" s="15"/>
      <c r="D35" s="15"/>
      <c r="E35" s="15"/>
      <c r="F35" s="15"/>
      <c r="G35" s="15"/>
      <c r="H35" s="15"/>
      <c r="I35" s="15"/>
      <c r="J35" s="15"/>
    </row>
    <row r="36" spans="1:10" ht="15" customHeight="1" x14ac:dyDescent="0.2">
      <c r="A36" s="3"/>
      <c r="B36" s="5"/>
      <c r="C36" s="15"/>
      <c r="D36" s="15"/>
      <c r="E36" s="15"/>
      <c r="F36" s="15"/>
      <c r="G36" s="15"/>
      <c r="H36" s="15"/>
      <c r="I36" s="15"/>
      <c r="J36" s="15"/>
    </row>
    <row r="37" spans="1:10" ht="15" customHeight="1" x14ac:dyDescent="0.25">
      <c r="A37" s="59" t="s">
        <v>96</v>
      </c>
      <c r="B37" s="59"/>
      <c r="C37" s="59"/>
      <c r="D37" s="59"/>
      <c r="E37" s="59"/>
      <c r="F37" s="59"/>
      <c r="G37" s="59"/>
      <c r="H37" s="59"/>
      <c r="I37" s="19">
        <v>2</v>
      </c>
      <c r="J37" s="19">
        <v>0.65</v>
      </c>
    </row>
    <row r="38" spans="1:10" ht="15" customHeight="1" x14ac:dyDescent="0.2">
      <c r="A38" s="55" t="s">
        <v>97</v>
      </c>
      <c r="B38" s="55"/>
      <c r="C38" s="55"/>
      <c r="D38" s="55"/>
      <c r="E38" s="55"/>
      <c r="F38" s="55"/>
      <c r="G38" s="55"/>
      <c r="H38" s="55"/>
      <c r="I38" s="55"/>
      <c r="J38" s="55"/>
    </row>
    <row r="39" spans="1:10" ht="15" customHeight="1" x14ac:dyDescent="0.2">
      <c r="A39" s="77" t="s">
        <v>94</v>
      </c>
      <c r="B39" s="78"/>
      <c r="C39" s="9" t="s">
        <v>89</v>
      </c>
      <c r="D39" s="9" t="s">
        <v>73</v>
      </c>
      <c r="E39" s="9" t="s">
        <v>90</v>
      </c>
      <c r="F39" s="9" t="s">
        <v>91</v>
      </c>
      <c r="G39" s="9" t="s">
        <v>92</v>
      </c>
      <c r="H39" s="9" t="s">
        <v>93</v>
      </c>
      <c r="I39" s="9" t="s">
        <v>74</v>
      </c>
      <c r="J39" s="9" t="s">
        <v>75</v>
      </c>
    </row>
    <row r="40" spans="1:10" ht="15" customHeight="1" x14ac:dyDescent="0.2">
      <c r="A40" s="68" t="s">
        <v>174</v>
      </c>
      <c r="B40" s="69"/>
      <c r="C40" s="10">
        <f>MROUND(345*$I$4*$J$4,5)</f>
        <v>550</v>
      </c>
      <c r="D40" s="10">
        <f>MROUND(365*$I$4*$J$4,5)</f>
        <v>585</v>
      </c>
      <c r="E40" s="10">
        <f>MROUND(385*$I$4*$J$4,5)</f>
        <v>615</v>
      </c>
      <c r="F40" s="10">
        <f>MROUND(410*$I$4*$J$4,5)</f>
        <v>655</v>
      </c>
      <c r="G40" s="10">
        <f>MROUND(420*$I$4*$J$4,5)</f>
        <v>670</v>
      </c>
      <c r="H40" s="10">
        <f>MROUND(440*$I$4*$J$4,5)</f>
        <v>705</v>
      </c>
      <c r="I40" s="10">
        <f>MROUND(455*$I$4*$J$4,5)</f>
        <v>725</v>
      </c>
      <c r="J40" s="10">
        <f>MROUND(470*$I$4*$J$4,5)</f>
        <v>750</v>
      </c>
    </row>
    <row r="41" spans="1:10" ht="15" customHeight="1" x14ac:dyDescent="0.2">
      <c r="A41" s="77" t="s">
        <v>94</v>
      </c>
      <c r="B41" s="78"/>
      <c r="C41" s="9" t="s">
        <v>76</v>
      </c>
      <c r="D41" s="9" t="s">
        <v>77</v>
      </c>
      <c r="E41" s="9" t="s">
        <v>78</v>
      </c>
      <c r="F41" s="9" t="s">
        <v>79</v>
      </c>
      <c r="G41" s="9" t="s">
        <v>80</v>
      </c>
      <c r="H41" s="9" t="s">
        <v>81</v>
      </c>
      <c r="I41" s="9" t="s">
        <v>82</v>
      </c>
      <c r="J41" s="9" t="s">
        <v>83</v>
      </c>
    </row>
    <row r="42" spans="1:10" ht="15" customHeight="1" x14ac:dyDescent="0.2">
      <c r="A42" s="68" t="s">
        <v>174</v>
      </c>
      <c r="B42" s="69"/>
      <c r="C42" s="10">
        <f>MROUND(590*$I$4*$J$4,5)</f>
        <v>945</v>
      </c>
      <c r="D42" s="10">
        <f>MROUND(605*$I$4*$J$4,5)</f>
        <v>965</v>
      </c>
      <c r="E42" s="10">
        <f>MROUND(635*$I$4*$J$4,5)</f>
        <v>1015</v>
      </c>
      <c r="F42" s="10">
        <f>MROUND(660*$I$4*$J$4,5)</f>
        <v>1055</v>
      </c>
      <c r="G42" s="10">
        <f>MROUND(850*$I$4*$J$4,5)</f>
        <v>1360</v>
      </c>
      <c r="H42" s="10">
        <f>MROUND(1035*$I$4*$J$4,5)</f>
        <v>1655</v>
      </c>
      <c r="I42" s="10">
        <f>MROUND(1280*$I$4*$J$4,5)</f>
        <v>2045</v>
      </c>
      <c r="J42" s="10">
        <f>MROUND(1420*$I$4*$J$4,5)</f>
        <v>2270</v>
      </c>
    </row>
    <row r="43" spans="1:10" ht="15" customHeight="1" x14ac:dyDescent="0.2">
      <c r="A43" s="77" t="s">
        <v>94</v>
      </c>
      <c r="B43" s="78"/>
      <c r="C43" s="9" t="s">
        <v>84</v>
      </c>
      <c r="D43" s="9" t="s">
        <v>85</v>
      </c>
      <c r="E43" s="9" t="s">
        <v>86</v>
      </c>
      <c r="F43" s="9" t="s">
        <v>87</v>
      </c>
      <c r="G43" s="9" t="s">
        <v>88</v>
      </c>
      <c r="H43" s="9" t="s">
        <v>216</v>
      </c>
      <c r="I43" s="9" t="s">
        <v>217</v>
      </c>
      <c r="J43" s="9" t="s">
        <v>219</v>
      </c>
    </row>
    <row r="44" spans="1:10" ht="15" customHeight="1" x14ac:dyDescent="0.2">
      <c r="A44" s="68" t="s">
        <v>174</v>
      </c>
      <c r="B44" s="69"/>
      <c r="C44" s="10">
        <f>MROUND(1490*$I$4*$J$4,5)</f>
        <v>2380</v>
      </c>
      <c r="D44" s="10">
        <f>MROUND(1530*$I$4*$J$4,5)</f>
        <v>2445</v>
      </c>
      <c r="E44" s="10">
        <f>MROUND(1950*$I$4*$J$4,5)</f>
        <v>3115</v>
      </c>
      <c r="F44" s="10">
        <f>MROUND(2060*$I$4*$J$4,5)</f>
        <v>3295</v>
      </c>
      <c r="G44" s="10">
        <f>MROUND(2170*$I$4*$J$4,5)</f>
        <v>3470</v>
      </c>
      <c r="H44" s="10">
        <f>MROUND(6020*$I$4*$J$4,5)</f>
        <v>9625</v>
      </c>
      <c r="I44" s="24">
        <f>MROUND(8490*$I$4*$J$4,5)</f>
        <v>13570</v>
      </c>
      <c r="J44" s="10" t="s">
        <v>218</v>
      </c>
    </row>
    <row r="45" spans="1:10" ht="15" customHeight="1" x14ac:dyDescent="0.2">
      <c r="A45" s="5"/>
      <c r="B45" s="5"/>
      <c r="C45" s="15"/>
      <c r="D45" s="15"/>
      <c r="E45" s="15"/>
      <c r="F45" s="15"/>
      <c r="G45" s="15"/>
      <c r="H45" s="15"/>
      <c r="I45" s="15"/>
      <c r="J45" s="15"/>
    </row>
    <row r="46" spans="1:10" ht="15" customHeight="1" x14ac:dyDescent="0.2">
      <c r="A46" s="3" t="s">
        <v>31</v>
      </c>
      <c r="B46" s="3"/>
      <c r="C46" s="3"/>
      <c r="D46" s="3"/>
      <c r="E46" s="3"/>
      <c r="F46" s="3"/>
      <c r="G46" s="3"/>
      <c r="H46" s="3"/>
      <c r="I46" s="3"/>
      <c r="J46" s="3"/>
    </row>
    <row r="47" spans="1:10" ht="15" customHeight="1" x14ac:dyDescent="0.2">
      <c r="A47" s="3" t="s">
        <v>32</v>
      </c>
      <c r="B47" s="3"/>
      <c r="C47" s="3"/>
      <c r="D47" s="3"/>
      <c r="E47" s="3"/>
      <c r="F47" s="3"/>
      <c r="G47" s="3"/>
      <c r="H47" s="3"/>
      <c r="I47" s="3"/>
      <c r="J47" s="3"/>
    </row>
    <row r="48" spans="1:10" ht="15" customHeight="1" x14ac:dyDescent="0.2">
      <c r="A48" s="3" t="s">
        <v>34</v>
      </c>
      <c r="B48" s="3"/>
      <c r="C48" s="3"/>
      <c r="D48" s="3"/>
      <c r="E48" s="3"/>
      <c r="F48" s="3"/>
      <c r="G48" s="3"/>
      <c r="H48" s="3"/>
      <c r="I48" s="3"/>
      <c r="J48" s="3"/>
    </row>
    <row r="49" spans="1:12" ht="15" customHeight="1" x14ac:dyDescent="0.2">
      <c r="A49" s="3" t="s">
        <v>35</v>
      </c>
      <c r="B49" s="3"/>
      <c r="C49" s="3"/>
      <c r="D49" s="3"/>
      <c r="E49" s="3"/>
      <c r="F49" s="3"/>
      <c r="G49" s="3"/>
      <c r="H49" s="3"/>
      <c r="I49" s="3"/>
      <c r="J49" s="3"/>
    </row>
    <row r="50" spans="1:12" ht="15" customHeight="1" x14ac:dyDescent="0.2">
      <c r="A50" s="4" t="s">
        <v>33</v>
      </c>
      <c r="B50" s="3"/>
      <c r="C50" s="3"/>
      <c r="D50" s="3"/>
      <c r="E50" s="3"/>
      <c r="F50" s="3"/>
      <c r="G50" s="3"/>
      <c r="H50" s="3"/>
      <c r="I50" s="3"/>
      <c r="J50" s="3"/>
    </row>
    <row r="51" spans="1:12" ht="15" customHeight="1" thickBot="1" x14ac:dyDescent="0.25">
      <c r="I51" s="49" t="s">
        <v>2</v>
      </c>
      <c r="J51" s="49"/>
    </row>
    <row r="52" spans="1:12" x14ac:dyDescent="0.2">
      <c r="I52" s="63">
        <f>I2</f>
        <v>0</v>
      </c>
      <c r="J52" s="64"/>
    </row>
    <row r="53" spans="1:12" ht="15" thickBot="1" x14ac:dyDescent="0.25">
      <c r="I53" s="65"/>
      <c r="J53" s="66"/>
    </row>
    <row r="56" spans="1:12" ht="15" customHeight="1" x14ac:dyDescent="0.2">
      <c r="A56" s="50" t="s">
        <v>98</v>
      </c>
      <c r="B56" s="50"/>
      <c r="C56" s="50"/>
      <c r="D56" s="50"/>
      <c r="E56" s="50"/>
      <c r="F56" s="50"/>
      <c r="G56" s="50"/>
      <c r="H56" s="50"/>
    </row>
    <row r="57" spans="1:12" ht="15" customHeight="1" x14ac:dyDescent="0.2">
      <c r="A57" s="50"/>
      <c r="B57" s="50"/>
      <c r="C57" s="50"/>
      <c r="D57" s="50"/>
      <c r="E57" s="50"/>
      <c r="F57" s="50"/>
      <c r="G57" s="50"/>
      <c r="H57" s="50"/>
    </row>
    <row r="58" spans="1:12" ht="15" customHeight="1" x14ac:dyDescent="0.2">
      <c r="J58" s="23">
        <f>1-I52</f>
        <v>1</v>
      </c>
    </row>
    <row r="59" spans="1:12" ht="15" customHeight="1" x14ac:dyDescent="0.25">
      <c r="A59" s="59" t="s">
        <v>99</v>
      </c>
      <c r="B59" s="59"/>
      <c r="C59" s="59"/>
      <c r="D59" s="59"/>
      <c r="E59" s="59"/>
      <c r="F59" s="59"/>
      <c r="G59" s="59"/>
      <c r="H59" s="59"/>
      <c r="I59" s="67" t="s">
        <v>70</v>
      </c>
      <c r="J59" s="67"/>
    </row>
    <row r="60" spans="1:12" ht="15" customHeight="1" x14ac:dyDescent="0.2">
      <c r="A60" s="55" t="s">
        <v>46</v>
      </c>
      <c r="B60" s="55"/>
      <c r="C60" s="55"/>
      <c r="D60" s="55"/>
      <c r="E60" s="55"/>
      <c r="F60" s="55"/>
      <c r="G60" s="55"/>
      <c r="H60" s="55"/>
      <c r="I60" s="55"/>
      <c r="J60" s="55"/>
    </row>
    <row r="61" spans="1:12" ht="15" customHeight="1" x14ac:dyDescent="0.25">
      <c r="A61" s="62" t="s">
        <v>4</v>
      </c>
      <c r="B61" s="62"/>
      <c r="C61" s="62" t="s">
        <v>72</v>
      </c>
      <c r="D61" s="62"/>
      <c r="E61" s="62" t="s">
        <v>42</v>
      </c>
      <c r="F61" s="62"/>
      <c r="G61" s="62" t="s">
        <v>175</v>
      </c>
      <c r="H61" s="62"/>
      <c r="I61" s="62" t="s">
        <v>39</v>
      </c>
      <c r="J61" s="62"/>
    </row>
    <row r="62" spans="1:12" ht="15" customHeight="1" x14ac:dyDescent="0.2">
      <c r="A62" s="75" t="s">
        <v>100</v>
      </c>
      <c r="B62" s="75"/>
      <c r="C62" s="84" t="s">
        <v>74</v>
      </c>
      <c r="D62" s="85"/>
      <c r="E62" s="76">
        <v>1500</v>
      </c>
      <c r="F62" s="76"/>
      <c r="G62" s="91">
        <f>MROUND(5090*$I$4,5)</f>
        <v>8135</v>
      </c>
      <c r="H62" s="57"/>
      <c r="I62" s="58">
        <f t="shared" ref="I62:I78" si="1">ROUND(G62*$J$58,0)</f>
        <v>8135</v>
      </c>
      <c r="J62" s="58"/>
      <c r="L62" s="20"/>
    </row>
    <row r="63" spans="1:12" ht="15" customHeight="1" x14ac:dyDescent="0.2">
      <c r="A63" s="75"/>
      <c r="B63" s="75"/>
      <c r="C63" s="84" t="s">
        <v>75</v>
      </c>
      <c r="D63" s="85"/>
      <c r="E63" s="76"/>
      <c r="F63" s="76"/>
      <c r="G63" s="91">
        <f>MROUND(5495*$I$4,5)</f>
        <v>8785</v>
      </c>
      <c r="H63" s="57"/>
      <c r="I63" s="58">
        <f t="shared" si="1"/>
        <v>8785</v>
      </c>
      <c r="J63" s="58"/>
      <c r="L63" s="20"/>
    </row>
    <row r="64" spans="1:12" ht="15" customHeight="1" x14ac:dyDescent="0.2">
      <c r="A64" s="75"/>
      <c r="B64" s="75"/>
      <c r="C64" s="84" t="s">
        <v>76</v>
      </c>
      <c r="D64" s="85"/>
      <c r="E64" s="76"/>
      <c r="F64" s="76"/>
      <c r="G64" s="91">
        <f>MROUND(5860*$I$4,5)</f>
        <v>9365</v>
      </c>
      <c r="H64" s="57"/>
      <c r="I64" s="58">
        <f t="shared" si="1"/>
        <v>9365</v>
      </c>
      <c r="J64" s="58"/>
      <c r="L64" s="20"/>
    </row>
    <row r="65" spans="1:12" ht="15" customHeight="1" x14ac:dyDescent="0.2">
      <c r="A65" s="75"/>
      <c r="B65" s="75"/>
      <c r="C65" s="84" t="s">
        <v>77</v>
      </c>
      <c r="D65" s="85"/>
      <c r="E65" s="76"/>
      <c r="F65" s="76"/>
      <c r="G65" s="91">
        <f>MROUND(6540*$I$4,5)</f>
        <v>10455</v>
      </c>
      <c r="H65" s="57"/>
      <c r="I65" s="58">
        <f t="shared" si="1"/>
        <v>10455</v>
      </c>
      <c r="J65" s="58"/>
      <c r="L65" s="20"/>
    </row>
    <row r="66" spans="1:12" ht="15" customHeight="1" x14ac:dyDescent="0.2">
      <c r="A66" s="75"/>
      <c r="B66" s="75"/>
      <c r="C66" s="84" t="s">
        <v>78</v>
      </c>
      <c r="D66" s="85"/>
      <c r="E66" s="76"/>
      <c r="F66" s="76"/>
      <c r="G66" s="91">
        <f>MROUND(6835*$I$4,5)</f>
        <v>10925</v>
      </c>
      <c r="H66" s="57"/>
      <c r="I66" s="58">
        <f t="shared" si="1"/>
        <v>10925</v>
      </c>
      <c r="J66" s="58"/>
      <c r="L66" s="20"/>
    </row>
    <row r="67" spans="1:12" ht="15" customHeight="1" x14ac:dyDescent="0.2">
      <c r="A67" s="75"/>
      <c r="B67" s="75"/>
      <c r="C67" s="84" t="s">
        <v>79</v>
      </c>
      <c r="D67" s="85"/>
      <c r="E67" s="76"/>
      <c r="F67" s="76"/>
      <c r="G67" s="91">
        <f>MROUND(7215*$I$4,5)</f>
        <v>11535</v>
      </c>
      <c r="H67" s="57"/>
      <c r="I67" s="58">
        <f t="shared" si="1"/>
        <v>11535</v>
      </c>
      <c r="J67" s="58"/>
      <c r="L67" s="20"/>
    </row>
    <row r="68" spans="1:12" ht="15" customHeight="1" x14ac:dyDescent="0.2">
      <c r="A68" s="75"/>
      <c r="B68" s="75"/>
      <c r="C68" s="84" t="s">
        <v>80</v>
      </c>
      <c r="D68" s="85"/>
      <c r="E68" s="76"/>
      <c r="F68" s="76"/>
      <c r="G68" s="91">
        <f>MROUND(8235*$I$4,5)</f>
        <v>13165</v>
      </c>
      <c r="H68" s="57"/>
      <c r="I68" s="58">
        <f t="shared" si="1"/>
        <v>13165</v>
      </c>
      <c r="J68" s="58"/>
      <c r="L68" s="20"/>
    </row>
    <row r="69" spans="1:12" ht="15" customHeight="1" x14ac:dyDescent="0.2">
      <c r="A69" s="75"/>
      <c r="B69" s="75"/>
      <c r="C69" s="84" t="s">
        <v>81</v>
      </c>
      <c r="D69" s="85"/>
      <c r="E69" s="76"/>
      <c r="F69" s="76"/>
      <c r="G69" s="91">
        <f>MROUND(9040*$I$4,5)</f>
        <v>14450</v>
      </c>
      <c r="H69" s="57"/>
      <c r="I69" s="58">
        <f t="shared" si="1"/>
        <v>14450</v>
      </c>
      <c r="J69" s="58"/>
      <c r="L69" s="20"/>
    </row>
    <row r="70" spans="1:12" ht="15" customHeight="1" x14ac:dyDescent="0.2">
      <c r="A70" s="75"/>
      <c r="B70" s="75"/>
      <c r="C70" s="84" t="s">
        <v>82</v>
      </c>
      <c r="D70" s="85"/>
      <c r="E70" s="76"/>
      <c r="F70" s="76"/>
      <c r="G70" s="91">
        <f>MROUND(10995*$I$4,5)</f>
        <v>17575</v>
      </c>
      <c r="H70" s="57"/>
      <c r="I70" s="58">
        <f t="shared" si="1"/>
        <v>17575</v>
      </c>
      <c r="J70" s="58"/>
      <c r="L70" s="20"/>
    </row>
    <row r="71" spans="1:12" ht="15" customHeight="1" x14ac:dyDescent="0.2">
      <c r="A71" s="75"/>
      <c r="B71" s="75"/>
      <c r="C71" s="84" t="s">
        <v>83</v>
      </c>
      <c r="D71" s="85"/>
      <c r="E71" s="76"/>
      <c r="F71" s="76"/>
      <c r="G71" s="91">
        <f>MROUND(12760*$I$4,5)</f>
        <v>20395</v>
      </c>
      <c r="H71" s="57"/>
      <c r="I71" s="58">
        <f t="shared" si="1"/>
        <v>20395</v>
      </c>
      <c r="J71" s="58"/>
      <c r="L71" s="20"/>
    </row>
    <row r="72" spans="1:12" ht="15" customHeight="1" x14ac:dyDescent="0.2">
      <c r="A72" s="75"/>
      <c r="B72" s="75"/>
      <c r="C72" s="84" t="s">
        <v>84</v>
      </c>
      <c r="D72" s="85"/>
      <c r="E72" s="76"/>
      <c r="F72" s="76"/>
      <c r="G72" s="91">
        <f>MROUND(15385*$I$4,5)</f>
        <v>24590</v>
      </c>
      <c r="H72" s="57"/>
      <c r="I72" s="58">
        <f t="shared" si="1"/>
        <v>24590</v>
      </c>
      <c r="J72" s="58"/>
      <c r="L72" s="20"/>
    </row>
    <row r="73" spans="1:12" ht="15" customHeight="1" x14ac:dyDescent="0.2">
      <c r="A73" s="75"/>
      <c r="B73" s="75"/>
      <c r="C73" s="84" t="s">
        <v>85</v>
      </c>
      <c r="D73" s="85"/>
      <c r="E73" s="76"/>
      <c r="F73" s="76"/>
      <c r="G73" s="91">
        <f>MROUND(16695*$I$4,5)</f>
        <v>26685</v>
      </c>
      <c r="H73" s="57"/>
      <c r="I73" s="58">
        <f t="shared" si="1"/>
        <v>26685</v>
      </c>
      <c r="J73" s="58"/>
      <c r="L73" s="20"/>
    </row>
    <row r="74" spans="1:12" ht="15" customHeight="1" x14ac:dyDescent="0.2">
      <c r="A74" s="75"/>
      <c r="B74" s="75"/>
      <c r="C74" s="84" t="s">
        <v>86</v>
      </c>
      <c r="D74" s="85"/>
      <c r="E74" s="76"/>
      <c r="F74" s="76"/>
      <c r="G74" s="91">
        <f>MROUND(17665*$I$4,5)</f>
        <v>28235</v>
      </c>
      <c r="H74" s="57"/>
      <c r="I74" s="58">
        <f t="shared" si="1"/>
        <v>28235</v>
      </c>
      <c r="J74" s="58"/>
      <c r="L74" s="20"/>
    </row>
    <row r="75" spans="1:12" ht="15" customHeight="1" x14ac:dyDescent="0.2">
      <c r="A75" s="75"/>
      <c r="B75" s="75"/>
      <c r="C75" s="84" t="s">
        <v>87</v>
      </c>
      <c r="D75" s="85"/>
      <c r="E75" s="76"/>
      <c r="F75" s="76"/>
      <c r="G75" s="91">
        <f>MROUND(19795*$I$4,5)</f>
        <v>31640</v>
      </c>
      <c r="H75" s="57"/>
      <c r="I75" s="58">
        <f t="shared" si="1"/>
        <v>31640</v>
      </c>
      <c r="J75" s="58"/>
      <c r="L75" s="20"/>
    </row>
    <row r="76" spans="1:12" ht="15" customHeight="1" x14ac:dyDescent="0.2">
      <c r="A76" s="75"/>
      <c r="B76" s="75"/>
      <c r="C76" s="84" t="s">
        <v>88</v>
      </c>
      <c r="D76" s="85"/>
      <c r="E76" s="76"/>
      <c r="F76" s="76"/>
      <c r="G76" s="91">
        <f>MROUND(21885*$I$4,5)</f>
        <v>34980</v>
      </c>
      <c r="H76" s="57"/>
      <c r="I76" s="58">
        <f t="shared" si="1"/>
        <v>34980</v>
      </c>
      <c r="J76" s="58"/>
      <c r="L76" s="20"/>
    </row>
    <row r="77" spans="1:12" ht="15" customHeight="1" x14ac:dyDescent="0.2">
      <c r="A77" s="75"/>
      <c r="B77" s="75"/>
      <c r="C77" s="84" t="s">
        <v>216</v>
      </c>
      <c r="D77" s="85"/>
      <c r="E77" s="76"/>
      <c r="F77" s="76"/>
      <c r="G77" s="91">
        <f>MROUND(32600*$I$4,5)</f>
        <v>52110</v>
      </c>
      <c r="H77" s="57"/>
      <c r="I77" s="58">
        <f t="shared" si="1"/>
        <v>52110</v>
      </c>
      <c r="J77" s="58"/>
      <c r="L77" s="20"/>
    </row>
    <row r="78" spans="1:12" ht="15" customHeight="1" x14ac:dyDescent="0.2">
      <c r="A78" s="75"/>
      <c r="B78" s="75"/>
      <c r="C78" s="84" t="s">
        <v>217</v>
      </c>
      <c r="D78" s="85"/>
      <c r="E78" s="76"/>
      <c r="F78" s="76"/>
      <c r="G78" s="91">
        <f>MROUND(37800*$I$4,5)</f>
        <v>60420</v>
      </c>
      <c r="H78" s="57"/>
      <c r="I78" s="58">
        <f t="shared" si="1"/>
        <v>60420</v>
      </c>
      <c r="J78" s="58"/>
      <c r="L78" s="20"/>
    </row>
    <row r="79" spans="1:12" ht="15" customHeight="1" x14ac:dyDescent="0.2"/>
    <row r="80" spans="1:12" ht="15" customHeight="1" x14ac:dyDescent="0.2"/>
    <row r="81" spans="1:10" ht="15" customHeight="1" x14ac:dyDescent="0.2"/>
    <row r="82" spans="1:10" ht="15" customHeight="1" x14ac:dyDescent="0.2"/>
    <row r="83" spans="1:10" ht="15" customHeight="1" x14ac:dyDescent="0.2"/>
    <row r="84" spans="1:10" ht="15" customHeight="1" x14ac:dyDescent="0.2">
      <c r="A84" s="3"/>
      <c r="B84" s="5"/>
      <c r="C84" s="15"/>
      <c r="D84" s="15"/>
      <c r="E84" s="15"/>
      <c r="F84" s="15"/>
      <c r="G84" s="15"/>
      <c r="H84" s="15"/>
      <c r="I84" s="15"/>
      <c r="J84" s="15"/>
    </row>
    <row r="85" spans="1:10" ht="15" customHeight="1" x14ac:dyDescent="0.2">
      <c r="A85" s="3"/>
      <c r="B85" s="5"/>
      <c r="C85" s="15"/>
      <c r="D85" s="15"/>
      <c r="E85" s="15"/>
      <c r="F85" s="15"/>
      <c r="G85" s="15"/>
      <c r="H85" s="15"/>
      <c r="I85" s="15"/>
      <c r="J85" s="15"/>
    </row>
    <row r="86" spans="1:10" ht="15" customHeight="1" x14ac:dyDescent="0.2">
      <c r="A86" s="3"/>
      <c r="B86" s="5"/>
      <c r="C86" s="15"/>
      <c r="D86" s="15"/>
      <c r="E86" s="15"/>
      <c r="F86" s="15"/>
      <c r="G86" s="15"/>
      <c r="H86" s="15"/>
      <c r="I86" s="15"/>
      <c r="J86" s="15"/>
    </row>
    <row r="87" spans="1:10" ht="15" customHeight="1" x14ac:dyDescent="0.25">
      <c r="A87" s="59" t="s">
        <v>96</v>
      </c>
      <c r="B87" s="59"/>
      <c r="C87" s="59"/>
      <c r="D87" s="59"/>
      <c r="E87" s="59"/>
      <c r="F87" s="59"/>
      <c r="G87" s="59"/>
      <c r="H87" s="59"/>
      <c r="I87" s="19">
        <v>2</v>
      </c>
      <c r="J87" s="19">
        <v>0.65</v>
      </c>
    </row>
    <row r="88" spans="1:10" ht="15" customHeight="1" x14ac:dyDescent="0.2">
      <c r="A88" s="55" t="s">
        <v>97</v>
      </c>
      <c r="B88" s="55"/>
      <c r="C88" s="55"/>
      <c r="D88" s="55"/>
      <c r="E88" s="55"/>
      <c r="F88" s="55"/>
      <c r="G88" s="55"/>
      <c r="H88" s="55"/>
      <c r="I88" s="55"/>
      <c r="J88" s="55"/>
    </row>
    <row r="89" spans="1:10" ht="15" customHeight="1" x14ac:dyDescent="0.2">
      <c r="A89" s="77" t="s">
        <v>94</v>
      </c>
      <c r="B89" s="78"/>
      <c r="C89" s="9" t="s">
        <v>89</v>
      </c>
      <c r="D89" s="9" t="s">
        <v>73</v>
      </c>
      <c r="E89" s="9" t="s">
        <v>90</v>
      </c>
      <c r="F89" s="9" t="s">
        <v>91</v>
      </c>
      <c r="G89" s="9" t="s">
        <v>92</v>
      </c>
      <c r="H89" s="9" t="s">
        <v>93</v>
      </c>
      <c r="I89" s="9" t="s">
        <v>74</v>
      </c>
      <c r="J89" s="9" t="s">
        <v>75</v>
      </c>
    </row>
    <row r="90" spans="1:10" ht="15" customHeight="1" x14ac:dyDescent="0.2">
      <c r="A90" s="68" t="s">
        <v>174</v>
      </c>
      <c r="B90" s="69"/>
      <c r="C90" s="10">
        <f>MROUND(345*$I$4*$J$58,5)</f>
        <v>550</v>
      </c>
      <c r="D90" s="10">
        <f>MROUND(365*$I$4*$J$58,5)</f>
        <v>585</v>
      </c>
      <c r="E90" s="10">
        <f>MROUND(385*$I$4*$J$58,5)</f>
        <v>615</v>
      </c>
      <c r="F90" s="10">
        <f>MROUND(410*$I$4*$J$58,5)</f>
        <v>655</v>
      </c>
      <c r="G90" s="10">
        <f>MROUND(420*$I$4*$J$58,5)</f>
        <v>670</v>
      </c>
      <c r="H90" s="10">
        <f>MROUND(440*$I$4*$J$58,5)</f>
        <v>705</v>
      </c>
      <c r="I90" s="10">
        <f>MROUND(455*$I$4*$J$58,5)</f>
        <v>725</v>
      </c>
      <c r="J90" s="10">
        <f>MROUND(470*$I$4*$J$58,5)</f>
        <v>750</v>
      </c>
    </row>
    <row r="91" spans="1:10" ht="15" customHeight="1" x14ac:dyDescent="0.2">
      <c r="A91" s="77" t="s">
        <v>94</v>
      </c>
      <c r="B91" s="78"/>
      <c r="C91" s="9" t="s">
        <v>76</v>
      </c>
      <c r="D91" s="9" t="s">
        <v>77</v>
      </c>
      <c r="E91" s="9" t="s">
        <v>78</v>
      </c>
      <c r="F91" s="9" t="s">
        <v>79</v>
      </c>
      <c r="G91" s="9" t="s">
        <v>80</v>
      </c>
      <c r="H91" s="9" t="s">
        <v>81</v>
      </c>
      <c r="I91" s="9" t="s">
        <v>82</v>
      </c>
      <c r="J91" s="9" t="s">
        <v>83</v>
      </c>
    </row>
    <row r="92" spans="1:10" ht="15" customHeight="1" x14ac:dyDescent="0.2">
      <c r="A92" s="68" t="s">
        <v>174</v>
      </c>
      <c r="B92" s="69"/>
      <c r="C92" s="10">
        <f>MROUND(590*$I$4*$J$58,5)</f>
        <v>945</v>
      </c>
      <c r="D92" s="10">
        <f>MROUND(605*$I$4*$J$58,5)</f>
        <v>965</v>
      </c>
      <c r="E92" s="10">
        <f>MROUND(635*$I$4*$J$58,5)</f>
        <v>1015</v>
      </c>
      <c r="F92" s="10">
        <f>MROUND(660*$I$4*$J$58,5)</f>
        <v>1055</v>
      </c>
      <c r="G92" s="10">
        <f>MROUND(850*$I$4*$J$58,5)</f>
        <v>1360</v>
      </c>
      <c r="H92" s="10">
        <f>MROUND(1035*$I$4*$J$58,5)</f>
        <v>1655</v>
      </c>
      <c r="I92" s="10">
        <f>MROUND(1280*$I$4*$J$58,5)</f>
        <v>2045</v>
      </c>
      <c r="J92" s="10">
        <f>MROUND(1420*$I$4*$J$58,5)</f>
        <v>2270</v>
      </c>
    </row>
    <row r="93" spans="1:10" ht="15" customHeight="1" x14ac:dyDescent="0.2">
      <c r="A93" s="77" t="s">
        <v>94</v>
      </c>
      <c r="B93" s="78"/>
      <c r="C93" s="9" t="s">
        <v>84</v>
      </c>
      <c r="D93" s="9" t="s">
        <v>85</v>
      </c>
      <c r="E93" s="9" t="s">
        <v>86</v>
      </c>
      <c r="F93" s="9" t="s">
        <v>87</v>
      </c>
      <c r="G93" s="9" t="s">
        <v>88</v>
      </c>
      <c r="H93" s="9" t="s">
        <v>216</v>
      </c>
      <c r="I93" s="9" t="s">
        <v>217</v>
      </c>
      <c r="J93" s="9" t="s">
        <v>219</v>
      </c>
    </row>
    <row r="94" spans="1:10" ht="15" customHeight="1" x14ac:dyDescent="0.2">
      <c r="A94" s="68" t="s">
        <v>174</v>
      </c>
      <c r="B94" s="69"/>
      <c r="C94" s="10">
        <f>MROUND(1490*$I$4*$J$58,5)</f>
        <v>2380</v>
      </c>
      <c r="D94" s="10">
        <f>MROUND(1530*$I$4*$J$58,5)</f>
        <v>2445</v>
      </c>
      <c r="E94" s="10">
        <f>MROUND(1950*$I$4*$J$58,5)</f>
        <v>3115</v>
      </c>
      <c r="F94" s="10">
        <f>MROUND(2060*$I$4*$J$58,5)</f>
        <v>3295</v>
      </c>
      <c r="G94" s="10">
        <f>MROUND(2170*$I$4*$J$58,5)</f>
        <v>3470</v>
      </c>
      <c r="H94" s="10">
        <f>MROUND(6020*$I$4*$J$58,5)</f>
        <v>9625</v>
      </c>
      <c r="I94" s="24">
        <f>MROUND(8490*$I$4*$J$58,5)</f>
        <v>13570</v>
      </c>
      <c r="J94" s="10" t="s">
        <v>218</v>
      </c>
    </row>
    <row r="95" spans="1:10" ht="15" customHeight="1" x14ac:dyDescent="0.2">
      <c r="A95" s="5"/>
      <c r="B95" s="5"/>
      <c r="C95" s="15"/>
      <c r="D95" s="15"/>
      <c r="E95" s="15"/>
      <c r="F95" s="15"/>
      <c r="G95" s="15"/>
      <c r="H95" s="15"/>
      <c r="I95" s="15"/>
      <c r="J95" s="15"/>
    </row>
    <row r="96" spans="1:10" ht="15" customHeight="1" x14ac:dyDescent="0.2">
      <c r="A96" s="3" t="s">
        <v>31</v>
      </c>
      <c r="B96" s="3"/>
      <c r="C96" s="3"/>
      <c r="D96" s="3"/>
      <c r="E96" s="3"/>
      <c r="F96" s="3"/>
      <c r="G96" s="3"/>
      <c r="H96" s="3"/>
      <c r="I96" s="3"/>
      <c r="J96" s="3"/>
    </row>
    <row r="97" spans="1:12" ht="15" customHeight="1" x14ac:dyDescent="0.2">
      <c r="A97" s="3" t="s">
        <v>32</v>
      </c>
      <c r="B97" s="3"/>
      <c r="C97" s="3"/>
      <c r="D97" s="3"/>
      <c r="E97" s="3"/>
      <c r="F97" s="3"/>
      <c r="G97" s="3"/>
      <c r="H97" s="3"/>
      <c r="I97" s="3"/>
      <c r="J97" s="3"/>
    </row>
    <row r="98" spans="1:12" ht="15" customHeight="1" x14ac:dyDescent="0.2">
      <c r="A98" s="3" t="s">
        <v>34</v>
      </c>
      <c r="B98" s="3"/>
      <c r="C98" s="3"/>
      <c r="D98" s="3"/>
      <c r="E98" s="3"/>
      <c r="F98" s="3"/>
      <c r="G98" s="3"/>
      <c r="H98" s="3"/>
      <c r="I98" s="3"/>
      <c r="J98" s="3"/>
    </row>
    <row r="99" spans="1:12" ht="15" customHeight="1" x14ac:dyDescent="0.2">
      <c r="A99" s="3" t="s">
        <v>35</v>
      </c>
      <c r="B99" s="3"/>
      <c r="C99" s="3"/>
      <c r="D99" s="3"/>
      <c r="E99" s="3"/>
      <c r="F99" s="3"/>
      <c r="G99" s="3"/>
      <c r="H99" s="3"/>
      <c r="I99" s="3"/>
      <c r="J99" s="3"/>
    </row>
    <row r="100" spans="1:12" ht="15" customHeight="1" x14ac:dyDescent="0.2">
      <c r="A100" s="4" t="s">
        <v>33</v>
      </c>
      <c r="B100" s="3"/>
      <c r="C100" s="3"/>
      <c r="D100" s="3"/>
      <c r="E100" s="3"/>
      <c r="F100" s="3"/>
      <c r="G100" s="3"/>
      <c r="H100" s="3"/>
      <c r="I100" s="3"/>
      <c r="J100" s="3"/>
    </row>
    <row r="101" spans="1:12" ht="15" customHeight="1" thickBot="1" x14ac:dyDescent="0.25">
      <c r="I101" s="49" t="s">
        <v>2</v>
      </c>
      <c r="J101" s="49"/>
    </row>
    <row r="102" spans="1:12" ht="15" customHeight="1" x14ac:dyDescent="0.2">
      <c r="I102" s="63">
        <f>I2</f>
        <v>0</v>
      </c>
      <c r="J102" s="64"/>
    </row>
    <row r="103" spans="1:12" ht="15" customHeight="1" thickBot="1" x14ac:dyDescent="0.25">
      <c r="I103" s="65"/>
      <c r="J103" s="66"/>
    </row>
    <row r="104" spans="1:12" ht="15" customHeight="1" x14ac:dyDescent="0.2"/>
    <row r="105" spans="1:12" ht="15" customHeight="1" x14ac:dyDescent="0.2"/>
    <row r="106" spans="1:12" ht="15" customHeight="1" x14ac:dyDescent="0.2">
      <c r="A106" s="50" t="s">
        <v>98</v>
      </c>
      <c r="B106" s="50"/>
      <c r="C106" s="50"/>
      <c r="D106" s="50"/>
      <c r="E106" s="50"/>
      <c r="F106" s="50"/>
      <c r="G106" s="50"/>
      <c r="H106" s="50"/>
    </row>
    <row r="107" spans="1:12" ht="15" customHeight="1" x14ac:dyDescent="0.2">
      <c r="A107" s="50"/>
      <c r="B107" s="50"/>
      <c r="C107" s="50"/>
      <c r="D107" s="50"/>
      <c r="E107" s="50"/>
      <c r="F107" s="50"/>
      <c r="G107" s="50"/>
      <c r="H107" s="50"/>
    </row>
    <row r="108" spans="1:12" ht="15" customHeight="1" x14ac:dyDescent="0.2">
      <c r="J108" s="23">
        <f>1-I102</f>
        <v>1</v>
      </c>
    </row>
    <row r="109" spans="1:12" ht="15" customHeight="1" x14ac:dyDescent="0.25">
      <c r="A109" s="59" t="s">
        <v>99</v>
      </c>
      <c r="B109" s="59"/>
      <c r="C109" s="59"/>
      <c r="D109" s="59"/>
      <c r="E109" s="59"/>
      <c r="F109" s="59"/>
      <c r="G109" s="59"/>
      <c r="H109" s="59"/>
      <c r="I109" s="67" t="s">
        <v>70</v>
      </c>
      <c r="J109" s="67"/>
    </row>
    <row r="110" spans="1:12" ht="15" customHeight="1" x14ac:dyDescent="0.2">
      <c r="A110" s="55" t="s">
        <v>46</v>
      </c>
      <c r="B110" s="55"/>
      <c r="C110" s="55"/>
      <c r="D110" s="55"/>
      <c r="E110" s="55"/>
      <c r="F110" s="55"/>
      <c r="G110" s="55"/>
      <c r="H110" s="55"/>
      <c r="I110" s="55"/>
      <c r="J110" s="55"/>
    </row>
    <row r="111" spans="1:12" ht="15" customHeight="1" x14ac:dyDescent="0.25">
      <c r="A111" s="62" t="s">
        <v>4</v>
      </c>
      <c r="B111" s="62"/>
      <c r="C111" s="62" t="s">
        <v>72</v>
      </c>
      <c r="D111" s="62"/>
      <c r="E111" s="62" t="s">
        <v>42</v>
      </c>
      <c r="F111" s="62"/>
      <c r="G111" s="62" t="s">
        <v>175</v>
      </c>
      <c r="H111" s="62"/>
      <c r="I111" s="62" t="s">
        <v>39</v>
      </c>
      <c r="J111" s="62"/>
    </row>
    <row r="112" spans="1:12" ht="15" customHeight="1" x14ac:dyDescent="0.2">
      <c r="A112" s="75" t="s">
        <v>100</v>
      </c>
      <c r="B112" s="75"/>
      <c r="C112" s="84" t="s">
        <v>74</v>
      </c>
      <c r="D112" s="85"/>
      <c r="E112" s="76">
        <v>2000</v>
      </c>
      <c r="F112" s="76"/>
      <c r="G112" s="91">
        <f>MROUND(6305*$I$4,5)</f>
        <v>10080</v>
      </c>
      <c r="H112" s="57"/>
      <c r="I112" s="58">
        <f t="shared" ref="I112:I128" si="2">ROUND(G112*$J$108,0)</f>
        <v>10080</v>
      </c>
      <c r="J112" s="58"/>
      <c r="L112" s="20"/>
    </row>
    <row r="113" spans="1:12" ht="15" customHeight="1" x14ac:dyDescent="0.2">
      <c r="A113" s="75"/>
      <c r="B113" s="75"/>
      <c r="C113" s="84" t="s">
        <v>75</v>
      </c>
      <c r="D113" s="85"/>
      <c r="E113" s="76"/>
      <c r="F113" s="76"/>
      <c r="G113" s="91">
        <f>MROUND(6805*$I$4,5)</f>
        <v>10875</v>
      </c>
      <c r="H113" s="57"/>
      <c r="I113" s="58">
        <f t="shared" si="2"/>
        <v>10875</v>
      </c>
      <c r="J113" s="58"/>
      <c r="L113" s="20"/>
    </row>
    <row r="114" spans="1:12" ht="15" customHeight="1" x14ac:dyDescent="0.2">
      <c r="A114" s="75"/>
      <c r="B114" s="75"/>
      <c r="C114" s="84" t="s">
        <v>76</v>
      </c>
      <c r="D114" s="85"/>
      <c r="E114" s="76"/>
      <c r="F114" s="76"/>
      <c r="G114" s="91">
        <f>MROUND(7145*$I$4,5)</f>
        <v>11420</v>
      </c>
      <c r="H114" s="57"/>
      <c r="I114" s="58">
        <f t="shared" si="2"/>
        <v>11420</v>
      </c>
      <c r="J114" s="58"/>
      <c r="L114" s="20"/>
    </row>
    <row r="115" spans="1:12" ht="15" customHeight="1" x14ac:dyDescent="0.2">
      <c r="A115" s="75"/>
      <c r="B115" s="75"/>
      <c r="C115" s="84" t="s">
        <v>77</v>
      </c>
      <c r="D115" s="85"/>
      <c r="E115" s="76"/>
      <c r="F115" s="76"/>
      <c r="G115" s="91">
        <f>MROUND(8045*$I$4,5)</f>
        <v>12860</v>
      </c>
      <c r="H115" s="57"/>
      <c r="I115" s="58">
        <f t="shared" si="2"/>
        <v>12860</v>
      </c>
      <c r="J115" s="58"/>
      <c r="L115" s="20"/>
    </row>
    <row r="116" spans="1:12" ht="15" customHeight="1" x14ac:dyDescent="0.2">
      <c r="A116" s="75"/>
      <c r="B116" s="75"/>
      <c r="C116" s="84" t="s">
        <v>78</v>
      </c>
      <c r="D116" s="85"/>
      <c r="E116" s="76"/>
      <c r="F116" s="76"/>
      <c r="G116" s="91">
        <f>MROUND(8555*$I$4,5)</f>
        <v>13675</v>
      </c>
      <c r="H116" s="57"/>
      <c r="I116" s="58">
        <f t="shared" si="2"/>
        <v>13675</v>
      </c>
      <c r="J116" s="58"/>
      <c r="L116" s="20"/>
    </row>
    <row r="117" spans="1:12" ht="15" customHeight="1" x14ac:dyDescent="0.2">
      <c r="A117" s="75"/>
      <c r="B117" s="75"/>
      <c r="C117" s="84" t="s">
        <v>79</v>
      </c>
      <c r="D117" s="85"/>
      <c r="E117" s="76"/>
      <c r="F117" s="76"/>
      <c r="G117" s="91">
        <f>MROUND(8865*$I$4,5)</f>
        <v>14170</v>
      </c>
      <c r="H117" s="57"/>
      <c r="I117" s="58">
        <f t="shared" si="2"/>
        <v>14170</v>
      </c>
      <c r="J117" s="58"/>
      <c r="L117" s="20"/>
    </row>
    <row r="118" spans="1:12" ht="15" customHeight="1" x14ac:dyDescent="0.2">
      <c r="A118" s="75"/>
      <c r="B118" s="75"/>
      <c r="C118" s="84" t="s">
        <v>80</v>
      </c>
      <c r="D118" s="85"/>
      <c r="E118" s="76"/>
      <c r="F118" s="76"/>
      <c r="G118" s="91">
        <f>MROUND(10135*$I$4,5)</f>
        <v>16200</v>
      </c>
      <c r="H118" s="57"/>
      <c r="I118" s="58">
        <f t="shared" si="2"/>
        <v>16200</v>
      </c>
      <c r="J118" s="58"/>
      <c r="L118" s="20"/>
    </row>
    <row r="119" spans="1:12" ht="15" customHeight="1" x14ac:dyDescent="0.2">
      <c r="A119" s="75"/>
      <c r="B119" s="75"/>
      <c r="C119" s="84" t="s">
        <v>81</v>
      </c>
      <c r="D119" s="85"/>
      <c r="E119" s="76"/>
      <c r="F119" s="76"/>
      <c r="G119" s="91">
        <f>MROUND(11120*$I$4,5)</f>
        <v>17775</v>
      </c>
      <c r="H119" s="57"/>
      <c r="I119" s="58">
        <f t="shared" si="2"/>
        <v>17775</v>
      </c>
      <c r="J119" s="58"/>
      <c r="L119" s="20"/>
    </row>
    <row r="120" spans="1:12" ht="15" customHeight="1" x14ac:dyDescent="0.2">
      <c r="A120" s="75"/>
      <c r="B120" s="75"/>
      <c r="C120" s="84" t="s">
        <v>82</v>
      </c>
      <c r="D120" s="85"/>
      <c r="E120" s="76"/>
      <c r="F120" s="76"/>
      <c r="G120" s="91">
        <f>MROUND(13505*$I$4,5)</f>
        <v>21585</v>
      </c>
      <c r="H120" s="57"/>
      <c r="I120" s="58">
        <f t="shared" si="2"/>
        <v>21585</v>
      </c>
      <c r="J120" s="58"/>
      <c r="L120" s="20"/>
    </row>
    <row r="121" spans="1:12" ht="15" customHeight="1" x14ac:dyDescent="0.2">
      <c r="A121" s="75"/>
      <c r="B121" s="75"/>
      <c r="C121" s="84" t="s">
        <v>83</v>
      </c>
      <c r="D121" s="85"/>
      <c r="E121" s="76"/>
      <c r="F121" s="76"/>
      <c r="G121" s="91">
        <f>MROUND(15265*$I$4,5)</f>
        <v>24400</v>
      </c>
      <c r="H121" s="57"/>
      <c r="I121" s="58">
        <f t="shared" si="2"/>
        <v>24400</v>
      </c>
      <c r="J121" s="58"/>
      <c r="L121" s="20"/>
    </row>
    <row r="122" spans="1:12" ht="15" customHeight="1" x14ac:dyDescent="0.2">
      <c r="A122" s="75"/>
      <c r="B122" s="75"/>
      <c r="C122" s="84" t="s">
        <v>84</v>
      </c>
      <c r="D122" s="85"/>
      <c r="E122" s="76"/>
      <c r="F122" s="76"/>
      <c r="G122" s="91">
        <f>MROUND(18605*$I$4,5)</f>
        <v>29740</v>
      </c>
      <c r="H122" s="57"/>
      <c r="I122" s="58">
        <f t="shared" si="2"/>
        <v>29740</v>
      </c>
      <c r="J122" s="58"/>
      <c r="L122" s="20"/>
    </row>
    <row r="123" spans="1:12" ht="15" customHeight="1" x14ac:dyDescent="0.2">
      <c r="A123" s="75"/>
      <c r="B123" s="75"/>
      <c r="C123" s="84" t="s">
        <v>85</v>
      </c>
      <c r="D123" s="85"/>
      <c r="E123" s="76"/>
      <c r="F123" s="76"/>
      <c r="G123" s="91">
        <f>MROUND(20140*$I$4,5)</f>
        <v>32195</v>
      </c>
      <c r="H123" s="57"/>
      <c r="I123" s="58">
        <f t="shared" si="2"/>
        <v>32195</v>
      </c>
      <c r="J123" s="58"/>
      <c r="L123" s="20"/>
    </row>
    <row r="124" spans="1:12" ht="15" customHeight="1" x14ac:dyDescent="0.2">
      <c r="A124" s="75"/>
      <c r="B124" s="75"/>
      <c r="C124" s="84" t="s">
        <v>86</v>
      </c>
      <c r="D124" s="85"/>
      <c r="E124" s="76"/>
      <c r="F124" s="76"/>
      <c r="G124" s="91">
        <f>MROUND(21150*$I$4,5)</f>
        <v>33805</v>
      </c>
      <c r="H124" s="57"/>
      <c r="I124" s="58">
        <f t="shared" si="2"/>
        <v>33805</v>
      </c>
      <c r="J124" s="58"/>
      <c r="L124" s="20"/>
    </row>
    <row r="125" spans="1:12" ht="15" customHeight="1" x14ac:dyDescent="0.2">
      <c r="A125" s="75"/>
      <c r="B125" s="75"/>
      <c r="C125" s="84" t="s">
        <v>87</v>
      </c>
      <c r="D125" s="85"/>
      <c r="E125" s="76"/>
      <c r="F125" s="76"/>
      <c r="G125" s="91">
        <f>MROUND(23720*$I$4,5)</f>
        <v>37915</v>
      </c>
      <c r="H125" s="57"/>
      <c r="I125" s="58">
        <f t="shared" si="2"/>
        <v>37915</v>
      </c>
      <c r="J125" s="58"/>
      <c r="L125" s="20"/>
    </row>
    <row r="126" spans="1:12" ht="15" customHeight="1" x14ac:dyDescent="0.2">
      <c r="A126" s="75"/>
      <c r="B126" s="75"/>
      <c r="C126" s="84" t="s">
        <v>88</v>
      </c>
      <c r="D126" s="85"/>
      <c r="E126" s="76"/>
      <c r="F126" s="76"/>
      <c r="G126" s="91">
        <f>MROUND(26065*$I$4,5)</f>
        <v>41665</v>
      </c>
      <c r="H126" s="57"/>
      <c r="I126" s="58">
        <f t="shared" si="2"/>
        <v>41665</v>
      </c>
      <c r="J126" s="58"/>
      <c r="L126" s="20"/>
    </row>
    <row r="127" spans="1:12" ht="15" customHeight="1" x14ac:dyDescent="0.2">
      <c r="A127" s="75"/>
      <c r="B127" s="75"/>
      <c r="C127" s="84" t="s">
        <v>216</v>
      </c>
      <c r="D127" s="85"/>
      <c r="E127" s="76"/>
      <c r="F127" s="76"/>
      <c r="G127" s="91">
        <f>MROUND(40700*$I$4,5)</f>
        <v>65055</v>
      </c>
      <c r="H127" s="57"/>
      <c r="I127" s="58">
        <f t="shared" si="2"/>
        <v>65055</v>
      </c>
      <c r="J127" s="58"/>
      <c r="L127" s="20"/>
    </row>
    <row r="128" spans="1:12" ht="15" customHeight="1" x14ac:dyDescent="0.2">
      <c r="A128" s="75"/>
      <c r="B128" s="75"/>
      <c r="C128" s="84" t="s">
        <v>217</v>
      </c>
      <c r="D128" s="85"/>
      <c r="E128" s="76"/>
      <c r="F128" s="76"/>
      <c r="G128" s="91">
        <f>MROUND(47100*$I$4,5)</f>
        <v>75285</v>
      </c>
      <c r="H128" s="57"/>
      <c r="I128" s="58">
        <f t="shared" si="2"/>
        <v>75285</v>
      </c>
      <c r="J128" s="58"/>
      <c r="L128" s="20"/>
    </row>
    <row r="129" spans="1:10" ht="15" customHeight="1" x14ac:dyDescent="0.2"/>
    <row r="130" spans="1:10" ht="15" customHeight="1" x14ac:dyDescent="0.2"/>
    <row r="131" spans="1:10" ht="15" customHeight="1" x14ac:dyDescent="0.2"/>
    <row r="132" spans="1:10" ht="15" customHeight="1" x14ac:dyDescent="0.2"/>
    <row r="133" spans="1:10" ht="15" customHeight="1" x14ac:dyDescent="0.2"/>
    <row r="134" spans="1:10" ht="15" customHeight="1" x14ac:dyDescent="0.2">
      <c r="A134" s="5"/>
      <c r="B134" s="5"/>
      <c r="C134" s="15"/>
      <c r="D134" s="15"/>
      <c r="E134" s="15"/>
      <c r="F134" s="15"/>
      <c r="G134" s="15"/>
      <c r="H134" s="15"/>
      <c r="I134" s="15"/>
      <c r="J134" s="15"/>
    </row>
    <row r="135" spans="1:10" ht="15" customHeight="1" x14ac:dyDescent="0.2">
      <c r="A135" s="3"/>
      <c r="B135" s="5"/>
      <c r="C135" s="15"/>
      <c r="D135" s="15"/>
      <c r="E135" s="15"/>
      <c r="F135" s="15"/>
      <c r="G135" s="15"/>
      <c r="H135" s="15"/>
      <c r="I135" s="15"/>
      <c r="J135" s="15"/>
    </row>
    <row r="136" spans="1:10" ht="15" customHeight="1" x14ac:dyDescent="0.2">
      <c r="A136" s="3"/>
      <c r="B136" s="5"/>
      <c r="C136" s="15"/>
      <c r="D136" s="15"/>
      <c r="E136" s="15"/>
      <c r="F136" s="15"/>
      <c r="G136" s="15"/>
      <c r="H136" s="15"/>
      <c r="I136" s="15"/>
      <c r="J136" s="15"/>
    </row>
    <row r="137" spans="1:10" ht="15" customHeight="1" x14ac:dyDescent="0.25">
      <c r="A137" s="59" t="s">
        <v>96</v>
      </c>
      <c r="B137" s="59"/>
      <c r="C137" s="59"/>
      <c r="D137" s="59"/>
      <c r="E137" s="59"/>
      <c r="F137" s="59"/>
      <c r="G137" s="59"/>
      <c r="H137" s="59"/>
      <c r="I137" s="19">
        <v>2</v>
      </c>
      <c r="J137" s="19">
        <v>0.65</v>
      </c>
    </row>
    <row r="138" spans="1:10" ht="15" customHeight="1" x14ac:dyDescent="0.2">
      <c r="A138" s="55" t="s">
        <v>97</v>
      </c>
      <c r="B138" s="55"/>
      <c r="C138" s="55"/>
      <c r="D138" s="55"/>
      <c r="E138" s="55"/>
      <c r="F138" s="55"/>
      <c r="G138" s="55"/>
      <c r="H138" s="55"/>
      <c r="I138" s="55"/>
      <c r="J138" s="55"/>
    </row>
    <row r="139" spans="1:10" ht="15" customHeight="1" x14ac:dyDescent="0.2">
      <c r="A139" s="77" t="s">
        <v>94</v>
      </c>
      <c r="B139" s="78"/>
      <c r="C139" s="9" t="s">
        <v>89</v>
      </c>
      <c r="D139" s="9" t="s">
        <v>73</v>
      </c>
      <c r="E139" s="9" t="s">
        <v>90</v>
      </c>
      <c r="F139" s="9" t="s">
        <v>91</v>
      </c>
      <c r="G139" s="9" t="s">
        <v>92</v>
      </c>
      <c r="H139" s="9" t="s">
        <v>93</v>
      </c>
      <c r="I139" s="9" t="s">
        <v>74</v>
      </c>
      <c r="J139" s="9" t="s">
        <v>75</v>
      </c>
    </row>
    <row r="140" spans="1:10" ht="15" customHeight="1" x14ac:dyDescent="0.2">
      <c r="A140" s="68" t="s">
        <v>174</v>
      </c>
      <c r="B140" s="69"/>
      <c r="C140" s="10">
        <f>MROUND(345*$I$4*$J$108,5)</f>
        <v>550</v>
      </c>
      <c r="D140" s="10">
        <f>MROUND(365*$I$4*$J$108,5)</f>
        <v>585</v>
      </c>
      <c r="E140" s="10">
        <f>MROUND(385*$I$4*$J$108,5)</f>
        <v>615</v>
      </c>
      <c r="F140" s="10">
        <f>MROUND(410*$I$4*$J$108,5)</f>
        <v>655</v>
      </c>
      <c r="G140" s="10">
        <f>MROUND(420*$I$4*$J$108,5)</f>
        <v>670</v>
      </c>
      <c r="H140" s="10">
        <f>MROUND(440*$I$4*$J$108,5)</f>
        <v>705</v>
      </c>
      <c r="I140" s="10">
        <f>MROUND(455*$I$4*$J$108,5)</f>
        <v>725</v>
      </c>
      <c r="J140" s="10">
        <f>MROUND(470*$I$4*$J$108,5)</f>
        <v>750</v>
      </c>
    </row>
    <row r="141" spans="1:10" ht="15" customHeight="1" x14ac:dyDescent="0.2">
      <c r="A141" s="77" t="s">
        <v>94</v>
      </c>
      <c r="B141" s="78"/>
      <c r="C141" s="9" t="s">
        <v>76</v>
      </c>
      <c r="D141" s="9" t="s">
        <v>77</v>
      </c>
      <c r="E141" s="9" t="s">
        <v>78</v>
      </c>
      <c r="F141" s="9" t="s">
        <v>79</v>
      </c>
      <c r="G141" s="9" t="s">
        <v>80</v>
      </c>
      <c r="H141" s="9" t="s">
        <v>81</v>
      </c>
      <c r="I141" s="9" t="s">
        <v>82</v>
      </c>
      <c r="J141" s="9" t="s">
        <v>83</v>
      </c>
    </row>
    <row r="142" spans="1:10" ht="15" customHeight="1" x14ac:dyDescent="0.2">
      <c r="A142" s="68" t="s">
        <v>174</v>
      </c>
      <c r="B142" s="69"/>
      <c r="C142" s="10">
        <f>MROUND(590*$I$4*$J$108,5)</f>
        <v>945</v>
      </c>
      <c r="D142" s="10">
        <f>MROUND(605*$I$4*$J$108,5)</f>
        <v>965</v>
      </c>
      <c r="E142" s="10">
        <f>MROUND(635*$I$4*$J$108,5)</f>
        <v>1015</v>
      </c>
      <c r="F142" s="10">
        <f>MROUND(660*$I$4*$J$108,5)</f>
        <v>1055</v>
      </c>
      <c r="G142" s="10">
        <f>MROUND(850*$I$4*$J$108,5)</f>
        <v>1360</v>
      </c>
      <c r="H142" s="10">
        <f>MROUND(1035*$I$4*$J$108,5)</f>
        <v>1655</v>
      </c>
      <c r="I142" s="10">
        <f>MROUND(1280*$I$4*$J$108,5)</f>
        <v>2045</v>
      </c>
      <c r="J142" s="10">
        <f>MROUND(1420*$I$4*$J$108,5)</f>
        <v>2270</v>
      </c>
    </row>
    <row r="143" spans="1:10" ht="15" customHeight="1" x14ac:dyDescent="0.2">
      <c r="A143" s="77" t="s">
        <v>94</v>
      </c>
      <c r="B143" s="78"/>
      <c r="C143" s="9" t="s">
        <v>84</v>
      </c>
      <c r="D143" s="9" t="s">
        <v>85</v>
      </c>
      <c r="E143" s="9" t="s">
        <v>86</v>
      </c>
      <c r="F143" s="9" t="s">
        <v>87</v>
      </c>
      <c r="G143" s="9" t="s">
        <v>88</v>
      </c>
      <c r="H143" s="9" t="s">
        <v>216</v>
      </c>
      <c r="I143" s="9" t="s">
        <v>217</v>
      </c>
      <c r="J143" s="9" t="s">
        <v>219</v>
      </c>
    </row>
    <row r="144" spans="1:10" ht="15" customHeight="1" x14ac:dyDescent="0.2">
      <c r="A144" s="68" t="s">
        <v>174</v>
      </c>
      <c r="B144" s="69"/>
      <c r="C144" s="10">
        <f>MROUND(1490*$I$4*$J$108,5)</f>
        <v>2380</v>
      </c>
      <c r="D144" s="10">
        <f>MROUND(1530*$I$4*$J$108,5)</f>
        <v>2445</v>
      </c>
      <c r="E144" s="10">
        <f>MROUND(1950*$I$4*$J$108,5)</f>
        <v>3115</v>
      </c>
      <c r="F144" s="10">
        <f>MROUND(2060*$I$4*$J$108,5)</f>
        <v>3295</v>
      </c>
      <c r="G144" s="10">
        <f>MROUND(2170*$I$4*$J$108,5)</f>
        <v>3470</v>
      </c>
      <c r="H144" s="10">
        <f>MROUND(6020*$I$4*$J$108,5)</f>
        <v>9625</v>
      </c>
      <c r="I144" s="24">
        <f>MROUND(8490*$I$4*$J$108,5)</f>
        <v>13570</v>
      </c>
      <c r="J144" s="10" t="s">
        <v>218</v>
      </c>
    </row>
    <row r="145" spans="1:10" ht="15" customHeight="1" x14ac:dyDescent="0.2">
      <c r="A145" s="5"/>
      <c r="B145" s="5"/>
      <c r="C145" s="15"/>
      <c r="D145" s="15"/>
      <c r="E145" s="15"/>
      <c r="F145" s="15"/>
      <c r="G145" s="15"/>
      <c r="H145" s="15"/>
      <c r="I145" s="15"/>
      <c r="J145" s="15"/>
    </row>
    <row r="146" spans="1:10" ht="15" customHeight="1" x14ac:dyDescent="0.2">
      <c r="A146" s="3" t="s">
        <v>31</v>
      </c>
      <c r="B146" s="3"/>
      <c r="C146" s="3"/>
      <c r="D146" s="3"/>
      <c r="E146" s="3"/>
      <c r="F146" s="3"/>
      <c r="G146" s="3"/>
      <c r="H146" s="3"/>
      <c r="I146" s="3"/>
      <c r="J146" s="3"/>
    </row>
    <row r="147" spans="1:10" ht="15" customHeight="1" x14ac:dyDescent="0.2">
      <c r="A147" s="3" t="s">
        <v>32</v>
      </c>
      <c r="B147" s="3"/>
      <c r="C147" s="3"/>
      <c r="D147" s="3"/>
      <c r="E147" s="3"/>
      <c r="F147" s="3"/>
      <c r="G147" s="3"/>
      <c r="H147" s="3"/>
      <c r="I147" s="3"/>
      <c r="J147" s="3"/>
    </row>
    <row r="148" spans="1:10" ht="15" customHeight="1" x14ac:dyDescent="0.2">
      <c r="A148" s="3" t="s">
        <v>34</v>
      </c>
      <c r="B148" s="3"/>
      <c r="C148" s="3"/>
      <c r="D148" s="3"/>
      <c r="E148" s="3"/>
      <c r="F148" s="3"/>
      <c r="G148" s="3"/>
      <c r="H148" s="3"/>
      <c r="I148" s="3"/>
      <c r="J148" s="3"/>
    </row>
    <row r="149" spans="1:10" ht="15" customHeight="1" x14ac:dyDescent="0.2">
      <c r="A149" s="3" t="s">
        <v>35</v>
      </c>
      <c r="B149" s="3"/>
      <c r="C149" s="3"/>
      <c r="D149" s="3"/>
      <c r="E149" s="3"/>
      <c r="F149" s="3"/>
      <c r="G149" s="3"/>
      <c r="H149" s="3"/>
      <c r="I149" s="3"/>
      <c r="J149" s="3"/>
    </row>
    <row r="150" spans="1:10" ht="15" customHeight="1" x14ac:dyDescent="0.2">
      <c r="A150" s="4" t="s">
        <v>33</v>
      </c>
      <c r="B150" s="3"/>
      <c r="C150" s="3"/>
      <c r="D150" s="3"/>
      <c r="E150" s="3"/>
      <c r="F150" s="3"/>
      <c r="G150" s="3"/>
      <c r="H150" s="3"/>
      <c r="I150" s="3"/>
      <c r="J150" s="3"/>
    </row>
    <row r="151" spans="1:10" ht="15" customHeight="1" x14ac:dyDescent="0.2"/>
    <row r="152" spans="1:10" ht="15" customHeight="1" x14ac:dyDescent="0.2"/>
    <row r="153" spans="1:10" ht="15" customHeight="1" x14ac:dyDescent="0.2"/>
    <row r="154" spans="1:10" ht="15" customHeight="1" x14ac:dyDescent="0.2"/>
    <row r="155" spans="1:10" ht="15" customHeight="1" x14ac:dyDescent="0.2"/>
    <row r="156" spans="1:10" ht="15" customHeight="1" x14ac:dyDescent="0.2"/>
    <row r="157" spans="1:10" ht="15" customHeight="1" x14ac:dyDescent="0.2"/>
    <row r="158" spans="1:10" ht="15" customHeight="1" x14ac:dyDescent="0.2"/>
    <row r="159" spans="1:10" ht="15" customHeight="1" x14ac:dyDescent="0.2"/>
    <row r="160" spans="1:1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</sheetData>
  <sheetProtection algorithmName="SHA-512" hashValue="/iFDL2Uiqd/kG28foMCYhJPcgsB2l2FWsqbfb3teUkm40IqFKBBU76m7ESZpu+yxLHVqvquQJ4qPBvX/JlDbzQ==" saltValue="7FSkBswjZwtj6QH1S6F5HA==" spinCount="100000" sheet="1" objects="1" scenarios="1"/>
  <mergeCells count="216">
    <mergeCell ref="I1:J1"/>
    <mergeCell ref="A6:H7"/>
    <mergeCell ref="I2:J3"/>
    <mergeCell ref="A9:H9"/>
    <mergeCell ref="I9:J9"/>
    <mergeCell ref="A10:J10"/>
    <mergeCell ref="C12:D12"/>
    <mergeCell ref="G12:H12"/>
    <mergeCell ref="I12:J12"/>
    <mergeCell ref="A11:B11"/>
    <mergeCell ref="C11:D11"/>
    <mergeCell ref="E11:F11"/>
    <mergeCell ref="G11:H11"/>
    <mergeCell ref="I11:J11"/>
    <mergeCell ref="G19:H19"/>
    <mergeCell ref="I19:J19"/>
    <mergeCell ref="C20:D20"/>
    <mergeCell ref="G20:H20"/>
    <mergeCell ref="I20:J20"/>
    <mergeCell ref="I13:J13"/>
    <mergeCell ref="C14:D14"/>
    <mergeCell ref="G14:H14"/>
    <mergeCell ref="I14:J14"/>
    <mergeCell ref="C19:D19"/>
    <mergeCell ref="C15:D15"/>
    <mergeCell ref="G15:H15"/>
    <mergeCell ref="I15:J15"/>
    <mergeCell ref="C16:D16"/>
    <mergeCell ref="C17:D17"/>
    <mergeCell ref="G17:H17"/>
    <mergeCell ref="I17:J17"/>
    <mergeCell ref="C18:D18"/>
    <mergeCell ref="G18:H18"/>
    <mergeCell ref="I18:J18"/>
    <mergeCell ref="G21:H21"/>
    <mergeCell ref="I21:J21"/>
    <mergeCell ref="C66:D66"/>
    <mergeCell ref="G66:H66"/>
    <mergeCell ref="I66:J66"/>
    <mergeCell ref="C63:D63"/>
    <mergeCell ref="C64:D64"/>
    <mergeCell ref="G64:H64"/>
    <mergeCell ref="I64:J64"/>
    <mergeCell ref="C22:D22"/>
    <mergeCell ref="G22:H22"/>
    <mergeCell ref="I22:J22"/>
    <mergeCell ref="I24:J24"/>
    <mergeCell ref="C21:D21"/>
    <mergeCell ref="C26:D26"/>
    <mergeCell ref="G26:H26"/>
    <mergeCell ref="C23:D23"/>
    <mergeCell ref="G23:H23"/>
    <mergeCell ref="I23:J23"/>
    <mergeCell ref="A61:B61"/>
    <mergeCell ref="C61:D61"/>
    <mergeCell ref="E61:F61"/>
    <mergeCell ref="G61:H61"/>
    <mergeCell ref="I61:J61"/>
    <mergeCell ref="C62:D62"/>
    <mergeCell ref="G62:H62"/>
    <mergeCell ref="I62:J62"/>
    <mergeCell ref="G63:H63"/>
    <mergeCell ref="I63:J63"/>
    <mergeCell ref="A43:B43"/>
    <mergeCell ref="A44:B44"/>
    <mergeCell ref="C65:D65"/>
    <mergeCell ref="G65:H65"/>
    <mergeCell ref="I65:J65"/>
    <mergeCell ref="I51:J51"/>
    <mergeCell ref="A56:H57"/>
    <mergeCell ref="I52:J53"/>
    <mergeCell ref="A59:H59"/>
    <mergeCell ref="I59:J59"/>
    <mergeCell ref="A60:J60"/>
    <mergeCell ref="A62:B78"/>
    <mergeCell ref="G70:H70"/>
    <mergeCell ref="I70:J70"/>
    <mergeCell ref="C78:D78"/>
    <mergeCell ref="C72:D72"/>
    <mergeCell ref="G72:H72"/>
    <mergeCell ref="I72:J72"/>
    <mergeCell ref="C77:D77"/>
    <mergeCell ref="C75:D75"/>
    <mergeCell ref="G75:H75"/>
    <mergeCell ref="I75:J75"/>
    <mergeCell ref="C73:D73"/>
    <mergeCell ref="G73:H73"/>
    <mergeCell ref="C67:D67"/>
    <mergeCell ref="G67:H67"/>
    <mergeCell ref="I67:J67"/>
    <mergeCell ref="C68:D68"/>
    <mergeCell ref="G68:H68"/>
    <mergeCell ref="I68:J68"/>
    <mergeCell ref="E62:F78"/>
    <mergeCell ref="G77:H77"/>
    <mergeCell ref="I77:J77"/>
    <mergeCell ref="G78:H78"/>
    <mergeCell ref="I78:J78"/>
    <mergeCell ref="C76:D76"/>
    <mergeCell ref="G76:H76"/>
    <mergeCell ref="I76:J76"/>
    <mergeCell ref="C71:D71"/>
    <mergeCell ref="G71:H71"/>
    <mergeCell ref="I71:J71"/>
    <mergeCell ref="C69:D69"/>
    <mergeCell ref="G69:H69"/>
    <mergeCell ref="I69:J69"/>
    <mergeCell ref="C70:D70"/>
    <mergeCell ref="I73:J73"/>
    <mergeCell ref="C74:D74"/>
    <mergeCell ref="G74:H74"/>
    <mergeCell ref="A42:B42"/>
    <mergeCell ref="C27:D27"/>
    <mergeCell ref="C28:D28"/>
    <mergeCell ref="A12:B28"/>
    <mergeCell ref="E12:F28"/>
    <mergeCell ref="G27:H27"/>
    <mergeCell ref="I27:J27"/>
    <mergeCell ref="G28:H28"/>
    <mergeCell ref="I28:J28"/>
    <mergeCell ref="C25:D25"/>
    <mergeCell ref="G25:H25"/>
    <mergeCell ref="I25:J25"/>
    <mergeCell ref="C24:D24"/>
    <mergeCell ref="G24:H24"/>
    <mergeCell ref="G16:H16"/>
    <mergeCell ref="I16:J16"/>
    <mergeCell ref="C13:D13"/>
    <mergeCell ref="G13:H13"/>
    <mergeCell ref="I26:J26"/>
    <mergeCell ref="A37:H37"/>
    <mergeCell ref="A38:J38"/>
    <mergeCell ref="A39:B39"/>
    <mergeCell ref="A40:B40"/>
    <mergeCell ref="A41:B41"/>
    <mergeCell ref="I74:J74"/>
    <mergeCell ref="I101:J101"/>
    <mergeCell ref="A106:H107"/>
    <mergeCell ref="I102:J103"/>
    <mergeCell ref="A109:H109"/>
    <mergeCell ref="I109:J109"/>
    <mergeCell ref="A110:J110"/>
    <mergeCell ref="A87:H87"/>
    <mergeCell ref="A88:J88"/>
    <mergeCell ref="A89:B89"/>
    <mergeCell ref="A90:B90"/>
    <mergeCell ref="C128:D128"/>
    <mergeCell ref="G128:H128"/>
    <mergeCell ref="I128:J128"/>
    <mergeCell ref="A143:B143"/>
    <mergeCell ref="A144:B144"/>
    <mergeCell ref="A93:B93"/>
    <mergeCell ref="A94:B94"/>
    <mergeCell ref="A91:B91"/>
    <mergeCell ref="A92:B92"/>
    <mergeCell ref="C126:D126"/>
    <mergeCell ref="C118:D118"/>
    <mergeCell ref="C115:D115"/>
    <mergeCell ref="C116:D116"/>
    <mergeCell ref="A137:H137"/>
    <mergeCell ref="A138:J138"/>
    <mergeCell ref="A139:B139"/>
    <mergeCell ref="A140:B140"/>
    <mergeCell ref="G119:H119"/>
    <mergeCell ref="I119:J119"/>
    <mergeCell ref="C120:D120"/>
    <mergeCell ref="G116:H116"/>
    <mergeCell ref="I116:J116"/>
    <mergeCell ref="A141:B141"/>
    <mergeCell ref="A142:B142"/>
    <mergeCell ref="A112:B128"/>
    <mergeCell ref="E112:F128"/>
    <mergeCell ref="G127:H127"/>
    <mergeCell ref="I114:J114"/>
    <mergeCell ref="I117:J117"/>
    <mergeCell ref="A111:B111"/>
    <mergeCell ref="C111:D111"/>
    <mergeCell ref="G120:H120"/>
    <mergeCell ref="I120:J120"/>
    <mergeCell ref="C117:D117"/>
    <mergeCell ref="G126:H126"/>
    <mergeCell ref="I126:J126"/>
    <mergeCell ref="C123:D123"/>
    <mergeCell ref="G123:H123"/>
    <mergeCell ref="I123:J123"/>
    <mergeCell ref="C124:D124"/>
    <mergeCell ref="C125:D125"/>
    <mergeCell ref="C119:D119"/>
    <mergeCell ref="G117:H117"/>
    <mergeCell ref="E111:F111"/>
    <mergeCell ref="G111:H111"/>
    <mergeCell ref="I111:J111"/>
    <mergeCell ref="C113:D113"/>
    <mergeCell ref="G113:H113"/>
    <mergeCell ref="I113:J113"/>
    <mergeCell ref="C114:D114"/>
    <mergeCell ref="G114:H114"/>
    <mergeCell ref="C112:D112"/>
    <mergeCell ref="G112:H112"/>
    <mergeCell ref="I112:J112"/>
    <mergeCell ref="G118:H118"/>
    <mergeCell ref="I118:J118"/>
    <mergeCell ref="I127:J127"/>
    <mergeCell ref="G115:H115"/>
    <mergeCell ref="I115:J115"/>
    <mergeCell ref="I124:J124"/>
    <mergeCell ref="C121:D121"/>
    <mergeCell ref="G121:H121"/>
    <mergeCell ref="I121:J121"/>
    <mergeCell ref="C122:D122"/>
    <mergeCell ref="G122:H122"/>
    <mergeCell ref="I122:J122"/>
    <mergeCell ref="C127:D127"/>
    <mergeCell ref="G125:H125"/>
    <mergeCell ref="I125:J125"/>
    <mergeCell ref="G124:H124"/>
  </mergeCells>
  <printOptions horizontalCentered="1"/>
  <pageMargins left="0.59055118110236227" right="0.59055118110236227" top="0.78740157480314965" bottom="0.78740157480314965" header="0.39370078740157483" footer="0.39370078740157483"/>
  <pageSetup paperSize="9" scale="93" orientation="portrait" r:id="rId1"/>
  <headerFooter>
    <oddFooter xml:space="preserve">&amp;L&amp;"Arial,Obyčejné"&amp;10   ITS097-01, © Greif-akustika, s.r.o.&amp;R&amp;"Arial,Obyčejné"&amp;10List &amp;P/&amp;N    </oddFooter>
  </headerFooter>
  <rowBreaks count="2" manualBreakCount="2">
    <brk id="50" max="9" man="1"/>
    <brk id="10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theme="1" tint="0.14999847407452621"/>
  </sheetPr>
  <dimension ref="A1:L2000"/>
  <sheetViews>
    <sheetView showGridLines="0" view="pageBreakPreview" zoomScale="120" zoomScaleNormal="120" zoomScaleSheetLayoutView="120" workbookViewId="0">
      <selection activeCell="G12" sqref="G12:H12"/>
    </sheetView>
  </sheetViews>
  <sheetFormatPr defaultColWidth="9" defaultRowHeight="14.25" x14ac:dyDescent="0.2"/>
  <cols>
    <col min="1" max="25" width="8.625" style="1" customWidth="1"/>
    <col min="26" max="16384" width="9" style="1"/>
  </cols>
  <sheetData>
    <row r="1" spans="1:10" ht="15" customHeight="1" thickBot="1" x14ac:dyDescent="0.25">
      <c r="I1" s="49" t="s">
        <v>2</v>
      </c>
      <c r="J1" s="49"/>
    </row>
    <row r="2" spans="1:10" ht="15" customHeight="1" x14ac:dyDescent="0.2">
      <c r="I2" s="63">
        <f>'Buňky G-GE-GH'!I2:J3</f>
        <v>0</v>
      </c>
      <c r="J2" s="64"/>
    </row>
    <row r="3" spans="1:10" ht="15" customHeight="1" thickBot="1" x14ac:dyDescent="0.25">
      <c r="I3" s="65"/>
      <c r="J3" s="66"/>
    </row>
    <row r="4" spans="1:10" ht="15" customHeight="1" x14ac:dyDescent="0.2">
      <c r="I4" s="23">
        <f>1*1.03*1.03*1.03*1.12*1.15*1.06</f>
        <v>1.4918783185600002</v>
      </c>
      <c r="J4" s="23">
        <f>1-I2</f>
        <v>1</v>
      </c>
    </row>
    <row r="5" spans="1:10" ht="15" customHeight="1" x14ac:dyDescent="0.2"/>
    <row r="6" spans="1:10" ht="15" customHeight="1" x14ac:dyDescent="0.2">
      <c r="A6" s="50" t="s">
        <v>101</v>
      </c>
      <c r="B6" s="50"/>
      <c r="C6" s="50"/>
      <c r="D6" s="50"/>
      <c r="E6" s="50"/>
      <c r="F6" s="50"/>
      <c r="G6" s="50"/>
      <c r="H6" s="50"/>
    </row>
    <row r="7" spans="1:10" ht="15" customHeight="1" x14ac:dyDescent="0.2">
      <c r="A7" s="50"/>
      <c r="B7" s="50"/>
      <c r="C7" s="50"/>
      <c r="D7" s="50"/>
      <c r="E7" s="50"/>
      <c r="F7" s="50"/>
      <c r="G7" s="50"/>
      <c r="H7" s="50"/>
    </row>
    <row r="8" spans="1:10" ht="15" customHeight="1" x14ac:dyDescent="0.2"/>
    <row r="9" spans="1:10" ht="15" customHeight="1" x14ac:dyDescent="0.25">
      <c r="A9" s="59" t="s">
        <v>102</v>
      </c>
      <c r="B9" s="59"/>
      <c r="C9" s="59"/>
      <c r="D9" s="59"/>
      <c r="E9" s="59"/>
      <c r="F9" s="59"/>
      <c r="G9" s="59"/>
      <c r="H9" s="59"/>
      <c r="I9" s="67" t="s">
        <v>105</v>
      </c>
      <c r="J9" s="67"/>
    </row>
    <row r="10" spans="1:10" ht="15" customHeight="1" x14ac:dyDescent="0.2">
      <c r="A10" s="55" t="s">
        <v>115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0" ht="15" customHeight="1" x14ac:dyDescent="0.25">
      <c r="A11" s="62" t="s">
        <v>103</v>
      </c>
      <c r="B11" s="62"/>
      <c r="C11" s="62" t="s">
        <v>4</v>
      </c>
      <c r="D11" s="62"/>
      <c r="E11" s="62" t="s">
        <v>42</v>
      </c>
      <c r="F11" s="62"/>
      <c r="G11" s="62" t="s">
        <v>175</v>
      </c>
      <c r="H11" s="62"/>
      <c r="I11" s="62" t="s">
        <v>39</v>
      </c>
      <c r="J11" s="62"/>
    </row>
    <row r="12" spans="1:10" ht="15" customHeight="1" x14ac:dyDescent="0.2">
      <c r="A12" s="75" t="s">
        <v>104</v>
      </c>
      <c r="B12" s="75"/>
      <c r="C12" s="84" t="s">
        <v>114</v>
      </c>
      <c r="D12" s="85"/>
      <c r="E12" s="76">
        <v>1500</v>
      </c>
      <c r="F12" s="76"/>
      <c r="G12" s="57">
        <f>MROUND(57400*$I$4,5)</f>
        <v>85635</v>
      </c>
      <c r="H12" s="57"/>
      <c r="I12" s="58">
        <f>ROUND(G12*$J$4,0)</f>
        <v>85635</v>
      </c>
      <c r="J12" s="58"/>
    </row>
    <row r="13" spans="1:10" ht="15" customHeight="1" x14ac:dyDescent="0.2">
      <c r="A13" s="75" t="s">
        <v>109</v>
      </c>
      <c r="B13" s="75"/>
      <c r="C13" s="84" t="s">
        <v>113</v>
      </c>
      <c r="D13" s="85"/>
      <c r="E13" s="76"/>
      <c r="F13" s="76"/>
      <c r="G13" s="57">
        <f>MROUND(64000*$I$4,5)</f>
        <v>95480</v>
      </c>
      <c r="H13" s="57"/>
      <c r="I13" s="58">
        <f>ROUND(G13*$J$4,0)</f>
        <v>95480</v>
      </c>
      <c r="J13" s="58"/>
    </row>
    <row r="14" spans="1:10" ht="15" customHeight="1" x14ac:dyDescent="0.2">
      <c r="A14" s="75" t="s">
        <v>108</v>
      </c>
      <c r="B14" s="75"/>
      <c r="C14" s="84" t="s">
        <v>112</v>
      </c>
      <c r="D14" s="85"/>
      <c r="E14" s="76"/>
      <c r="F14" s="76"/>
      <c r="G14" s="57">
        <f>MROUND(68000*$I$4,5)</f>
        <v>101450</v>
      </c>
      <c r="H14" s="57"/>
      <c r="I14" s="58">
        <f>ROUND(G14*$J$4,0)</f>
        <v>101450</v>
      </c>
      <c r="J14" s="58"/>
    </row>
    <row r="15" spans="1:10" ht="15" customHeight="1" x14ac:dyDescent="0.2">
      <c r="A15" s="75" t="s">
        <v>110</v>
      </c>
      <c r="B15" s="75"/>
      <c r="C15" s="84" t="s">
        <v>111</v>
      </c>
      <c r="D15" s="85"/>
      <c r="E15" s="76"/>
      <c r="F15" s="76"/>
      <c r="G15" s="57">
        <f>MROUND(78700*$I$4,5)</f>
        <v>117410</v>
      </c>
      <c r="H15" s="57"/>
      <c r="I15" s="58">
        <f>ROUND(G15*$J$4,0)</f>
        <v>117410</v>
      </c>
      <c r="J15" s="58"/>
    </row>
    <row r="16" spans="1:10" ht="1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spans="1:12" ht="15" customHeight="1" x14ac:dyDescent="0.2">
      <c r="A17" s="75" t="s">
        <v>104</v>
      </c>
      <c r="B17" s="75"/>
      <c r="C17" s="84" t="s">
        <v>114</v>
      </c>
      <c r="D17" s="85"/>
      <c r="E17" s="76">
        <v>2000</v>
      </c>
      <c r="F17" s="76"/>
      <c r="G17" s="57">
        <f>MROUND(64000*$I$4,5)</f>
        <v>95480</v>
      </c>
      <c r="H17" s="57"/>
      <c r="I17" s="58">
        <f>ROUND(G17*$J$4,0)</f>
        <v>95480</v>
      </c>
      <c r="J17" s="58"/>
      <c r="L17" s="23"/>
    </row>
    <row r="18" spans="1:12" ht="15" customHeight="1" x14ac:dyDescent="0.2">
      <c r="A18" s="75" t="s">
        <v>109</v>
      </c>
      <c r="B18" s="75"/>
      <c r="C18" s="84" t="s">
        <v>113</v>
      </c>
      <c r="D18" s="85"/>
      <c r="E18" s="76"/>
      <c r="F18" s="76"/>
      <c r="G18" s="57">
        <f>MROUND(70700*$I$4,5)</f>
        <v>105475</v>
      </c>
      <c r="H18" s="57"/>
      <c r="I18" s="58">
        <f>ROUND(G18*$J$4,0)</f>
        <v>105475</v>
      </c>
      <c r="J18" s="58"/>
    </row>
    <row r="19" spans="1:12" ht="15" customHeight="1" x14ac:dyDescent="0.2">
      <c r="A19" s="75" t="s">
        <v>108</v>
      </c>
      <c r="B19" s="75"/>
      <c r="C19" s="84" t="s">
        <v>112</v>
      </c>
      <c r="D19" s="85"/>
      <c r="E19" s="76"/>
      <c r="F19" s="76"/>
      <c r="G19" s="57">
        <f>MROUND(76200*$I$4,5)</f>
        <v>113680</v>
      </c>
      <c r="H19" s="57"/>
      <c r="I19" s="58">
        <f>ROUND(G19*$J$4,0)</f>
        <v>113680</v>
      </c>
      <c r="J19" s="58"/>
    </row>
    <row r="20" spans="1:12" ht="15" customHeight="1" x14ac:dyDescent="0.2">
      <c r="A20" s="75" t="s">
        <v>110</v>
      </c>
      <c r="B20" s="75"/>
      <c r="C20" s="84" t="s">
        <v>111</v>
      </c>
      <c r="D20" s="85"/>
      <c r="E20" s="76"/>
      <c r="F20" s="76"/>
      <c r="G20" s="57">
        <f>MROUND(85400*$I$4,5)</f>
        <v>127405</v>
      </c>
      <c r="H20" s="57"/>
      <c r="I20" s="58">
        <f>ROUND(G20*$J$4,0)</f>
        <v>127405</v>
      </c>
      <c r="J20" s="58"/>
    </row>
    <row r="21" spans="1:12" ht="1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2" ht="15" customHeight="1" x14ac:dyDescent="0.2">
      <c r="A22" s="75" t="s">
        <v>104</v>
      </c>
      <c r="B22" s="75"/>
      <c r="C22" s="84" t="s">
        <v>114</v>
      </c>
      <c r="D22" s="85"/>
      <c r="E22" s="76">
        <v>2500</v>
      </c>
      <c r="F22" s="76"/>
      <c r="G22" s="57">
        <f>MROUND(70700*$I$4,5)</f>
        <v>105475</v>
      </c>
      <c r="H22" s="57"/>
      <c r="I22" s="58">
        <f>ROUND(G22*$J$4,0)</f>
        <v>105475</v>
      </c>
      <c r="J22" s="58"/>
    </row>
    <row r="23" spans="1:12" ht="15" customHeight="1" x14ac:dyDescent="0.2">
      <c r="A23" s="75" t="s">
        <v>109</v>
      </c>
      <c r="B23" s="75"/>
      <c r="C23" s="84" t="s">
        <v>113</v>
      </c>
      <c r="D23" s="85"/>
      <c r="E23" s="76"/>
      <c r="F23" s="76"/>
      <c r="G23" s="57">
        <f>MROUND(77400*$I$4,5)</f>
        <v>115470</v>
      </c>
      <c r="H23" s="57"/>
      <c r="I23" s="58">
        <f>ROUND(G23*$J$4,0)</f>
        <v>115470</v>
      </c>
      <c r="J23" s="58"/>
    </row>
    <row r="24" spans="1:12" ht="15" customHeight="1" x14ac:dyDescent="0.2">
      <c r="A24" s="75" t="s">
        <v>108</v>
      </c>
      <c r="B24" s="75"/>
      <c r="C24" s="84" t="s">
        <v>112</v>
      </c>
      <c r="D24" s="85"/>
      <c r="E24" s="76"/>
      <c r="F24" s="76"/>
      <c r="G24" s="57">
        <f>MROUND(82700*$I$4,5)</f>
        <v>123380</v>
      </c>
      <c r="H24" s="57"/>
      <c r="I24" s="58">
        <f>ROUND(G24*$J$4,0)</f>
        <v>123380</v>
      </c>
      <c r="J24" s="58"/>
    </row>
    <row r="25" spans="1:12" ht="15" customHeight="1" x14ac:dyDescent="0.2">
      <c r="A25" s="75" t="s">
        <v>110</v>
      </c>
      <c r="B25" s="75"/>
      <c r="C25" s="84" t="s">
        <v>111</v>
      </c>
      <c r="D25" s="85"/>
      <c r="E25" s="76"/>
      <c r="F25" s="76"/>
      <c r="G25" s="57">
        <f>MROUND(92000*$I$4,5)</f>
        <v>137255</v>
      </c>
      <c r="H25" s="57"/>
      <c r="I25" s="58">
        <f>ROUND(G25*$J$4,0)</f>
        <v>137255</v>
      </c>
      <c r="J25" s="58"/>
    </row>
    <row r="26" spans="1:12" ht="1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2" ht="15" customHeight="1" x14ac:dyDescent="0.25">
      <c r="A27" s="59" t="s">
        <v>120</v>
      </c>
      <c r="B27" s="59"/>
      <c r="C27" s="59"/>
      <c r="D27" s="59"/>
      <c r="E27" s="59"/>
      <c r="F27" s="59"/>
      <c r="G27" s="59"/>
      <c r="H27" s="59"/>
      <c r="I27" s="67" t="s">
        <v>105</v>
      </c>
      <c r="J27" s="67"/>
    </row>
    <row r="28" spans="1:12" ht="15" customHeight="1" x14ac:dyDescent="0.2">
      <c r="A28" s="55" t="s">
        <v>115</v>
      </c>
      <c r="B28" s="55"/>
      <c r="C28" s="55"/>
      <c r="D28" s="55"/>
      <c r="E28" s="55"/>
      <c r="F28" s="55"/>
      <c r="G28" s="55"/>
      <c r="H28" s="55"/>
      <c r="I28" s="55"/>
      <c r="J28" s="55"/>
    </row>
    <row r="29" spans="1:12" ht="15" customHeight="1" x14ac:dyDescent="0.25">
      <c r="A29" s="62" t="s">
        <v>103</v>
      </c>
      <c r="B29" s="62"/>
      <c r="C29" s="62" t="s">
        <v>4</v>
      </c>
      <c r="D29" s="62"/>
      <c r="E29" s="62" t="s">
        <v>42</v>
      </c>
      <c r="F29" s="62"/>
      <c r="G29" s="62" t="s">
        <v>175</v>
      </c>
      <c r="H29" s="62"/>
      <c r="I29" s="62" t="s">
        <v>39</v>
      </c>
      <c r="J29" s="62"/>
    </row>
    <row r="30" spans="1:12" ht="15" customHeight="1" x14ac:dyDescent="0.2">
      <c r="A30" s="75" t="s">
        <v>104</v>
      </c>
      <c r="B30" s="75"/>
      <c r="C30" s="84" t="s">
        <v>116</v>
      </c>
      <c r="D30" s="85"/>
      <c r="E30" s="76">
        <v>2000</v>
      </c>
      <c r="F30" s="76"/>
      <c r="G30" s="57">
        <f>MROUND(64000*$I$4,5)</f>
        <v>95480</v>
      </c>
      <c r="H30" s="57"/>
      <c r="I30" s="58">
        <f>ROUND(G30*$J$4,0)</f>
        <v>95480</v>
      </c>
      <c r="J30" s="58"/>
    </row>
    <row r="31" spans="1:12" ht="15" customHeight="1" x14ac:dyDescent="0.2">
      <c r="A31" s="75" t="s">
        <v>109</v>
      </c>
      <c r="B31" s="75"/>
      <c r="C31" s="84" t="s">
        <v>117</v>
      </c>
      <c r="D31" s="85"/>
      <c r="E31" s="76"/>
      <c r="F31" s="76"/>
      <c r="G31" s="57">
        <f>MROUND(70700*$I$4,5)</f>
        <v>105475</v>
      </c>
      <c r="H31" s="57"/>
      <c r="I31" s="58">
        <f>ROUND(G31*$J$4,0)</f>
        <v>105475</v>
      </c>
      <c r="J31" s="58"/>
    </row>
    <row r="32" spans="1:12" ht="15" customHeight="1" x14ac:dyDescent="0.2">
      <c r="A32" s="75" t="s">
        <v>108</v>
      </c>
      <c r="B32" s="75"/>
      <c r="C32" s="84" t="s">
        <v>118</v>
      </c>
      <c r="D32" s="85"/>
      <c r="E32" s="76"/>
      <c r="F32" s="76"/>
      <c r="G32" s="57">
        <f>MROUND(76200*$I$4,5)</f>
        <v>113680</v>
      </c>
      <c r="H32" s="57"/>
      <c r="I32" s="58">
        <f>ROUND(G32*$J$4,0)</f>
        <v>113680</v>
      </c>
      <c r="J32" s="58"/>
    </row>
    <row r="33" spans="1:10" ht="15" customHeight="1" x14ac:dyDescent="0.2">
      <c r="A33" s="75" t="s">
        <v>110</v>
      </c>
      <c r="B33" s="75"/>
      <c r="C33" s="84" t="s">
        <v>119</v>
      </c>
      <c r="D33" s="85"/>
      <c r="E33" s="76"/>
      <c r="F33" s="76"/>
      <c r="G33" s="57">
        <f>MROUND(85400*$I$4,5)</f>
        <v>127405</v>
      </c>
      <c r="H33" s="57"/>
      <c r="I33" s="58">
        <f>ROUND(G33*$J$4,0)</f>
        <v>127405</v>
      </c>
      <c r="J33" s="58"/>
    </row>
    <row r="34" spans="1:10" ht="1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5" customHeight="1" x14ac:dyDescent="0.2">
      <c r="A35" s="75" t="s">
        <v>104</v>
      </c>
      <c r="B35" s="75"/>
      <c r="C35" s="84" t="s">
        <v>116</v>
      </c>
      <c r="D35" s="85"/>
      <c r="E35" s="76">
        <v>2500</v>
      </c>
      <c r="F35" s="76"/>
      <c r="G35" s="57">
        <f>MROUND(70700*$I$4,5)</f>
        <v>105475</v>
      </c>
      <c r="H35" s="57"/>
      <c r="I35" s="58">
        <f>ROUND(G35*$J$4,0)</f>
        <v>105475</v>
      </c>
      <c r="J35" s="58"/>
    </row>
    <row r="36" spans="1:10" ht="15" customHeight="1" x14ac:dyDescent="0.2">
      <c r="A36" s="75" t="s">
        <v>109</v>
      </c>
      <c r="B36" s="75"/>
      <c r="C36" s="84" t="s">
        <v>117</v>
      </c>
      <c r="D36" s="85"/>
      <c r="E36" s="76"/>
      <c r="F36" s="76"/>
      <c r="G36" s="57">
        <f>MROUND(77400*$I$4,5)</f>
        <v>115470</v>
      </c>
      <c r="H36" s="57"/>
      <c r="I36" s="58">
        <f>ROUND(G36*$J$4,0)</f>
        <v>115470</v>
      </c>
      <c r="J36" s="58"/>
    </row>
    <row r="37" spans="1:10" ht="15" customHeight="1" x14ac:dyDescent="0.2">
      <c r="A37" s="75" t="s">
        <v>108</v>
      </c>
      <c r="B37" s="75"/>
      <c r="C37" s="84" t="s">
        <v>118</v>
      </c>
      <c r="D37" s="85"/>
      <c r="E37" s="76"/>
      <c r="F37" s="76"/>
      <c r="G37" s="57">
        <f>MROUND(82700*$I$4,5)</f>
        <v>123380</v>
      </c>
      <c r="H37" s="57"/>
      <c r="I37" s="58">
        <f>ROUND(G37*$J$4,0)</f>
        <v>123380</v>
      </c>
      <c r="J37" s="58"/>
    </row>
    <row r="38" spans="1:10" ht="15" customHeight="1" x14ac:dyDescent="0.2">
      <c r="A38" s="75" t="s">
        <v>110</v>
      </c>
      <c r="B38" s="75"/>
      <c r="C38" s="84" t="s">
        <v>119</v>
      </c>
      <c r="D38" s="85"/>
      <c r="E38" s="76"/>
      <c r="F38" s="76"/>
      <c r="G38" s="57">
        <f>MROUND(92000*$I$4,5)</f>
        <v>137255</v>
      </c>
      <c r="H38" s="57"/>
      <c r="I38" s="58">
        <f>ROUND(G38*$J$4,0)</f>
        <v>137255</v>
      </c>
      <c r="J38" s="58"/>
    </row>
    <row r="39" spans="1:10" ht="15" customHeight="1" x14ac:dyDescent="0.2">
      <c r="A39" s="3"/>
      <c r="B39" s="5"/>
      <c r="C39" s="15"/>
      <c r="D39" s="15"/>
      <c r="E39" s="15"/>
      <c r="F39" s="15"/>
      <c r="G39" s="15"/>
      <c r="H39" s="15"/>
      <c r="I39" s="15"/>
      <c r="J39" s="15"/>
    </row>
    <row r="40" spans="1:10" ht="15" customHeight="1" x14ac:dyDescent="0.2">
      <c r="A40" s="3" t="s">
        <v>31</v>
      </c>
      <c r="B40" s="5"/>
      <c r="C40" s="15"/>
      <c r="D40" s="15"/>
      <c r="E40" s="15"/>
      <c r="F40" s="15"/>
      <c r="G40" s="15"/>
      <c r="H40" s="15"/>
      <c r="I40" s="15"/>
      <c r="J40" s="15"/>
    </row>
    <row r="41" spans="1:10" ht="15" customHeight="1" x14ac:dyDescent="0.2">
      <c r="A41" s="3" t="s">
        <v>32</v>
      </c>
      <c r="B41" s="5"/>
      <c r="C41" s="15"/>
      <c r="D41" s="15"/>
      <c r="E41" s="15"/>
      <c r="F41" s="15"/>
      <c r="G41" s="15"/>
      <c r="H41" s="15"/>
      <c r="I41" s="15"/>
      <c r="J41" s="15"/>
    </row>
    <row r="42" spans="1:10" ht="15" customHeight="1" x14ac:dyDescent="0.2">
      <c r="A42" s="3" t="s">
        <v>34</v>
      </c>
      <c r="B42" s="5"/>
      <c r="C42" s="15"/>
      <c r="D42" s="15"/>
      <c r="E42" s="15"/>
      <c r="F42" s="15"/>
      <c r="G42" s="15"/>
      <c r="H42" s="15"/>
      <c r="I42" s="15"/>
      <c r="J42" s="15"/>
    </row>
    <row r="43" spans="1:10" ht="15" customHeight="1" x14ac:dyDescent="0.2">
      <c r="A43" s="3" t="s">
        <v>35</v>
      </c>
      <c r="B43" s="5"/>
      <c r="C43" s="15"/>
      <c r="D43" s="15"/>
      <c r="E43" s="15"/>
      <c r="F43" s="15"/>
      <c r="G43" s="15"/>
      <c r="H43" s="15"/>
      <c r="I43" s="15"/>
      <c r="J43" s="15"/>
    </row>
    <row r="44" spans="1:10" ht="15" customHeight="1" x14ac:dyDescent="0.2">
      <c r="A44" s="4" t="s">
        <v>33</v>
      </c>
      <c r="B44" s="5"/>
      <c r="C44" s="15"/>
      <c r="D44" s="15"/>
      <c r="E44" s="15"/>
      <c r="F44" s="15"/>
      <c r="G44" s="15"/>
      <c r="H44" s="15"/>
      <c r="I44" s="15"/>
      <c r="J44" s="15"/>
    </row>
    <row r="45" spans="1:10" ht="15" customHeight="1" x14ac:dyDescent="0.2">
      <c r="A45" s="5"/>
      <c r="B45" s="5"/>
      <c r="C45" s="15"/>
      <c r="D45" s="15"/>
      <c r="E45" s="15"/>
      <c r="F45" s="15"/>
      <c r="G45" s="15"/>
      <c r="H45" s="15"/>
      <c r="I45" s="15"/>
      <c r="J45" s="15"/>
    </row>
    <row r="46" spans="1:10" ht="15" customHeight="1" x14ac:dyDescent="0.2">
      <c r="B46" s="3"/>
      <c r="C46" s="3"/>
      <c r="D46" s="3"/>
      <c r="E46" s="3"/>
      <c r="F46" s="3"/>
      <c r="G46" s="3"/>
      <c r="H46" s="3"/>
      <c r="I46" s="3"/>
      <c r="J46" s="3"/>
    </row>
    <row r="47" spans="1:10" ht="15" customHeight="1" x14ac:dyDescent="0.2">
      <c r="B47" s="3"/>
      <c r="C47" s="3"/>
      <c r="D47" s="3"/>
      <c r="E47" s="3"/>
      <c r="F47" s="3"/>
      <c r="G47" s="3"/>
      <c r="H47" s="3"/>
      <c r="I47" s="3"/>
      <c r="J47" s="3"/>
    </row>
    <row r="48" spans="1:10" ht="15" customHeight="1" x14ac:dyDescent="0.2">
      <c r="B48" s="3"/>
      <c r="C48" s="3"/>
      <c r="D48" s="3"/>
      <c r="E48" s="3"/>
      <c r="F48" s="3"/>
      <c r="G48" s="3"/>
      <c r="H48" s="3"/>
      <c r="I48" s="3"/>
      <c r="J48" s="3"/>
    </row>
    <row r="49" spans="2:10" ht="15" customHeight="1" x14ac:dyDescent="0.2">
      <c r="B49" s="3"/>
      <c r="C49" s="3"/>
      <c r="D49" s="3"/>
      <c r="E49" s="3"/>
      <c r="F49" s="3"/>
      <c r="G49" s="3"/>
      <c r="H49" s="3"/>
      <c r="I49" s="3"/>
      <c r="J49" s="3"/>
    </row>
    <row r="50" spans="2:10" ht="15" customHeight="1" x14ac:dyDescent="0.2">
      <c r="B50" s="3"/>
      <c r="C50" s="3"/>
      <c r="D50" s="3"/>
      <c r="E50" s="3"/>
      <c r="F50" s="3"/>
      <c r="G50" s="3"/>
      <c r="H50" s="3"/>
      <c r="I50" s="3"/>
      <c r="J50" s="3"/>
    </row>
    <row r="51" spans="2:10" ht="15" customHeight="1" x14ac:dyDescent="0.2"/>
    <row r="56" spans="2:10" ht="15" customHeight="1" x14ac:dyDescent="0.2"/>
    <row r="57" spans="2:10" ht="15" customHeight="1" x14ac:dyDescent="0.2"/>
    <row r="58" spans="2:10" ht="15" customHeight="1" x14ac:dyDescent="0.2"/>
    <row r="59" spans="2:10" ht="15" customHeight="1" x14ac:dyDescent="0.2"/>
    <row r="60" spans="2:10" ht="15" customHeight="1" x14ac:dyDescent="0.2"/>
    <row r="61" spans="2:10" ht="15" customHeight="1" x14ac:dyDescent="0.2"/>
    <row r="62" spans="2:10" ht="15" customHeight="1" x14ac:dyDescent="0.2"/>
    <row r="63" spans="2:10" ht="15" customHeight="1" x14ac:dyDescent="0.2"/>
    <row r="64" spans="2:10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</sheetData>
  <sheetProtection algorithmName="SHA-512" hashValue="PDk2IY+w7h6smdc9XbVjrM0KjElJEjjJkmk+VUkYxWzKthncUKtf3Wflrk5L+WtXZafKMNRuoiO7n440HO+DzA==" saltValue="kglo5QZK/eDBWhQFTZdiZw==" spinCount="100000" sheet="1" objects="1" scenarios="1"/>
  <mergeCells count="104">
    <mergeCell ref="G38:H38"/>
    <mergeCell ref="I38:J38"/>
    <mergeCell ref="I33:J33"/>
    <mergeCell ref="A35:B35"/>
    <mergeCell ref="C35:D35"/>
    <mergeCell ref="E35:F38"/>
    <mergeCell ref="G35:H35"/>
    <mergeCell ref="I35:J35"/>
    <mergeCell ref="A36:B36"/>
    <mergeCell ref="C36:D36"/>
    <mergeCell ref="G36:H36"/>
    <mergeCell ref="I36:J36"/>
    <mergeCell ref="A37:B37"/>
    <mergeCell ref="C37:D37"/>
    <mergeCell ref="G37:H37"/>
    <mergeCell ref="I37:J37"/>
    <mergeCell ref="A38:B38"/>
    <mergeCell ref="C38:D38"/>
    <mergeCell ref="G25:H25"/>
    <mergeCell ref="I25:J25"/>
    <mergeCell ref="G23:H23"/>
    <mergeCell ref="I23:J23"/>
    <mergeCell ref="G24:H24"/>
    <mergeCell ref="I24:J24"/>
    <mergeCell ref="A30:B30"/>
    <mergeCell ref="C30:D30"/>
    <mergeCell ref="E30:F33"/>
    <mergeCell ref="G30:H30"/>
    <mergeCell ref="I30:J30"/>
    <mergeCell ref="A31:B31"/>
    <mergeCell ref="C31:D31"/>
    <mergeCell ref="G31:H31"/>
    <mergeCell ref="I31:J31"/>
    <mergeCell ref="A32:B32"/>
    <mergeCell ref="C32:D32"/>
    <mergeCell ref="G32:H32"/>
    <mergeCell ref="I32:J32"/>
    <mergeCell ref="A33:B33"/>
    <mergeCell ref="C33:D33"/>
    <mergeCell ref="G33:H33"/>
    <mergeCell ref="G22:H22"/>
    <mergeCell ref="I22:J22"/>
    <mergeCell ref="C18:D18"/>
    <mergeCell ref="A17:B17"/>
    <mergeCell ref="G18:H18"/>
    <mergeCell ref="I18:J18"/>
    <mergeCell ref="A18:B18"/>
    <mergeCell ref="A29:B29"/>
    <mergeCell ref="C29:D29"/>
    <mergeCell ref="E29:F29"/>
    <mergeCell ref="G29:H29"/>
    <mergeCell ref="I29:J29"/>
    <mergeCell ref="A22:B22"/>
    <mergeCell ref="C22:D22"/>
    <mergeCell ref="E22:F25"/>
    <mergeCell ref="A23:B23"/>
    <mergeCell ref="C23:D23"/>
    <mergeCell ref="A24:B24"/>
    <mergeCell ref="C24:D24"/>
    <mergeCell ref="A25:B25"/>
    <mergeCell ref="C25:D25"/>
    <mergeCell ref="A27:H27"/>
    <mergeCell ref="A28:J28"/>
    <mergeCell ref="I27:J27"/>
    <mergeCell ref="C15:D15"/>
    <mergeCell ref="C17:D17"/>
    <mergeCell ref="E17:F20"/>
    <mergeCell ref="A19:B19"/>
    <mergeCell ref="C19:D19"/>
    <mergeCell ref="A20:B20"/>
    <mergeCell ref="C20:D20"/>
    <mergeCell ref="G19:H19"/>
    <mergeCell ref="I19:J19"/>
    <mergeCell ref="G15:H15"/>
    <mergeCell ref="I15:J15"/>
    <mergeCell ref="G17:H17"/>
    <mergeCell ref="A15:B15"/>
    <mergeCell ref="I17:J17"/>
    <mergeCell ref="G20:H20"/>
    <mergeCell ref="I20:J20"/>
    <mergeCell ref="I1:J1"/>
    <mergeCell ref="A6:H7"/>
    <mergeCell ref="I2:J3"/>
    <mergeCell ref="A9:H9"/>
    <mergeCell ref="I9:J9"/>
    <mergeCell ref="G13:H13"/>
    <mergeCell ref="I13:J13"/>
    <mergeCell ref="G14:H14"/>
    <mergeCell ref="I14:J14"/>
    <mergeCell ref="A11:B11"/>
    <mergeCell ref="C11:D11"/>
    <mergeCell ref="E11:F11"/>
    <mergeCell ref="G11:H11"/>
    <mergeCell ref="I11:J11"/>
    <mergeCell ref="C12:D12"/>
    <mergeCell ref="G12:H12"/>
    <mergeCell ref="I12:J12"/>
    <mergeCell ref="A13:B13"/>
    <mergeCell ref="A14:B14"/>
    <mergeCell ref="A10:J10"/>
    <mergeCell ref="C13:D13"/>
    <mergeCell ref="C14:D14"/>
    <mergeCell ref="E12:F15"/>
    <mergeCell ref="A12:B12"/>
  </mergeCells>
  <printOptions horizontalCentered="1"/>
  <pageMargins left="0.59055118110236227" right="0.59055118110236227" top="0.78740157480314965" bottom="0.78740157480314965" header="0.39370078740157483" footer="0.39370078740157483"/>
  <pageSetup paperSize="9" scale="93" orientation="portrait" r:id="rId1"/>
  <headerFooter>
    <oddFooter xml:space="preserve">&amp;L&amp;"Arial,Obyčejné"&amp;10   ITS097-01, © Greif-akustika, s.r.o.&amp;R&amp;"Arial,Obyčejné"&amp;10List &amp;P/&amp;N    </oddFooter>
  </headerFooter>
  <rowBreaks count="2" manualBreakCount="2">
    <brk id="50" max="9" man="1"/>
    <brk id="10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rgb="FFFFC000"/>
  </sheetPr>
  <dimension ref="A1:J2000"/>
  <sheetViews>
    <sheetView showGridLines="0" view="pageBreakPreview" zoomScale="120" zoomScaleNormal="120" zoomScaleSheetLayoutView="120" workbookViewId="0">
      <selection activeCell="I2" sqref="I2:J3"/>
    </sheetView>
  </sheetViews>
  <sheetFormatPr defaultColWidth="9" defaultRowHeight="14.25" x14ac:dyDescent="0.2"/>
  <cols>
    <col min="1" max="25" width="8.625" style="1" customWidth="1"/>
    <col min="26" max="16384" width="9" style="1"/>
  </cols>
  <sheetData>
    <row r="1" spans="1:10" ht="15" customHeight="1" thickBot="1" x14ac:dyDescent="0.25">
      <c r="I1" s="49" t="s">
        <v>2</v>
      </c>
      <c r="J1" s="49"/>
    </row>
    <row r="2" spans="1:10" ht="15" customHeight="1" x14ac:dyDescent="0.2">
      <c r="I2" s="63">
        <f>'Buňky G-GE-GH'!I2:J3</f>
        <v>0</v>
      </c>
      <c r="J2" s="64"/>
    </row>
    <row r="3" spans="1:10" ht="15" customHeight="1" thickBot="1" x14ac:dyDescent="0.25">
      <c r="I3" s="65"/>
      <c r="J3" s="66"/>
    </row>
    <row r="4" spans="1:10" ht="15" customHeight="1" x14ac:dyDescent="0.2">
      <c r="I4" s="23">
        <f>1</f>
        <v>1</v>
      </c>
      <c r="J4" s="23">
        <f>1-I2</f>
        <v>1</v>
      </c>
    </row>
    <row r="5" spans="1:10" ht="15" customHeight="1" x14ac:dyDescent="0.2"/>
    <row r="6" spans="1:10" ht="15" customHeight="1" x14ac:dyDescent="0.2">
      <c r="A6" s="50" t="s">
        <v>106</v>
      </c>
      <c r="B6" s="50"/>
      <c r="C6" s="50"/>
      <c r="D6" s="50"/>
      <c r="E6" s="50"/>
      <c r="F6" s="50"/>
      <c r="G6" s="50"/>
      <c r="H6" s="50"/>
    </row>
    <row r="7" spans="1:10" ht="15" customHeight="1" x14ac:dyDescent="0.2">
      <c r="A7" s="50"/>
      <c r="B7" s="50"/>
      <c r="C7" s="50"/>
      <c r="D7" s="50"/>
      <c r="E7" s="50"/>
      <c r="F7" s="50"/>
      <c r="G7" s="50"/>
      <c r="H7" s="50"/>
    </row>
    <row r="8" spans="1:10" ht="15" customHeight="1" x14ac:dyDescent="0.2"/>
    <row r="9" spans="1:10" ht="15" customHeight="1" x14ac:dyDescent="0.25">
      <c r="A9" s="59" t="s">
        <v>122</v>
      </c>
      <c r="B9" s="59"/>
      <c r="C9" s="59"/>
      <c r="D9" s="59"/>
      <c r="E9" s="59"/>
      <c r="F9" s="59"/>
      <c r="G9" s="59"/>
      <c r="H9" s="59"/>
      <c r="I9" s="67" t="s">
        <v>107</v>
      </c>
      <c r="J9" s="67"/>
    </row>
    <row r="10" spans="1:10" ht="15" customHeight="1" x14ac:dyDescent="0.2">
      <c r="A10" s="95" t="s">
        <v>121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0" ht="15" customHeight="1" x14ac:dyDescent="0.25">
      <c r="A11" s="96" t="s">
        <v>123</v>
      </c>
      <c r="B11" s="97"/>
      <c r="C11" s="97"/>
      <c r="D11" s="97"/>
      <c r="E11" s="97"/>
      <c r="F11" s="98"/>
      <c r="G11" s="62" t="s">
        <v>175</v>
      </c>
      <c r="H11" s="62"/>
      <c r="I11" s="62" t="s">
        <v>39</v>
      </c>
      <c r="J11" s="62"/>
    </row>
    <row r="12" spans="1:10" ht="15" customHeight="1" x14ac:dyDescent="0.2">
      <c r="A12" s="92" t="s">
        <v>169</v>
      </c>
      <c r="B12" s="93"/>
      <c r="C12" s="93"/>
      <c r="D12" s="93"/>
      <c r="E12" s="93"/>
      <c r="F12" s="94"/>
      <c r="G12" s="57">
        <f>MROUND(1305*$I$4,5)</f>
        <v>1305</v>
      </c>
      <c r="H12" s="57"/>
      <c r="I12" s="58">
        <f t="shared" ref="I12:I26" si="0">ROUND(G12*$J$4,0)</f>
        <v>1305</v>
      </c>
      <c r="J12" s="58"/>
    </row>
    <row r="13" spans="1:10" ht="15" customHeight="1" x14ac:dyDescent="0.2">
      <c r="A13" s="92" t="s">
        <v>124</v>
      </c>
      <c r="B13" s="93"/>
      <c r="C13" s="93"/>
      <c r="D13" s="93"/>
      <c r="E13" s="93"/>
      <c r="F13" s="94"/>
      <c r="G13" s="57">
        <f>MROUND(1435*$I$4,5)</f>
        <v>1435</v>
      </c>
      <c r="H13" s="57"/>
      <c r="I13" s="58">
        <f t="shared" si="0"/>
        <v>1435</v>
      </c>
      <c r="J13" s="58"/>
    </row>
    <row r="14" spans="1:10" ht="15" customHeight="1" x14ac:dyDescent="0.2">
      <c r="A14" s="92" t="s">
        <v>125</v>
      </c>
      <c r="B14" s="93"/>
      <c r="C14" s="93"/>
      <c r="D14" s="93"/>
      <c r="E14" s="93"/>
      <c r="F14" s="94"/>
      <c r="G14" s="57">
        <f>MROUND(1060*$I$4,5)</f>
        <v>1060</v>
      </c>
      <c r="H14" s="57"/>
      <c r="I14" s="58">
        <f t="shared" si="0"/>
        <v>1060</v>
      </c>
      <c r="J14" s="58"/>
    </row>
    <row r="15" spans="1:10" ht="15" customHeight="1" x14ac:dyDescent="0.2">
      <c r="A15" s="92" t="s">
        <v>126</v>
      </c>
      <c r="B15" s="93"/>
      <c r="C15" s="93"/>
      <c r="D15" s="93"/>
      <c r="E15" s="93"/>
      <c r="F15" s="94"/>
      <c r="G15" s="57">
        <f>MROUND(1345*$I$4,5)</f>
        <v>1345</v>
      </c>
      <c r="H15" s="57"/>
      <c r="I15" s="58">
        <f t="shared" si="0"/>
        <v>1345</v>
      </c>
      <c r="J15" s="58"/>
    </row>
    <row r="16" spans="1:10" ht="15" customHeight="1" x14ac:dyDescent="0.2">
      <c r="A16" s="92" t="s">
        <v>127</v>
      </c>
      <c r="B16" s="93"/>
      <c r="C16" s="93"/>
      <c r="D16" s="93"/>
      <c r="E16" s="93"/>
      <c r="F16" s="94"/>
      <c r="G16" s="57">
        <f>MROUND(1505*$I$4,5)</f>
        <v>1505</v>
      </c>
      <c r="H16" s="57"/>
      <c r="I16" s="58">
        <f t="shared" si="0"/>
        <v>1505</v>
      </c>
      <c r="J16" s="58"/>
    </row>
    <row r="17" spans="1:10" ht="15" customHeight="1" x14ac:dyDescent="0.2">
      <c r="A17" s="92" t="s">
        <v>128</v>
      </c>
      <c r="B17" s="93"/>
      <c r="C17" s="93"/>
      <c r="D17" s="93"/>
      <c r="E17" s="93"/>
      <c r="F17" s="94"/>
      <c r="G17" s="57">
        <f>MROUND(1670*$I$4,5)</f>
        <v>1670</v>
      </c>
      <c r="H17" s="57"/>
      <c r="I17" s="58">
        <f t="shared" si="0"/>
        <v>1670</v>
      </c>
      <c r="J17" s="58"/>
    </row>
    <row r="18" spans="1:10" ht="15" customHeight="1" x14ac:dyDescent="0.2">
      <c r="A18" s="92" t="s">
        <v>129</v>
      </c>
      <c r="B18" s="93"/>
      <c r="C18" s="93"/>
      <c r="D18" s="93"/>
      <c r="E18" s="93"/>
      <c r="F18" s="94"/>
      <c r="G18" s="57">
        <f>MROUND(1130*$I$4,5)</f>
        <v>1130</v>
      </c>
      <c r="H18" s="57"/>
      <c r="I18" s="58">
        <f t="shared" si="0"/>
        <v>1130</v>
      </c>
      <c r="J18" s="58"/>
    </row>
    <row r="19" spans="1:10" ht="15" customHeight="1" x14ac:dyDescent="0.2">
      <c r="A19" s="92" t="s">
        <v>130</v>
      </c>
      <c r="B19" s="93"/>
      <c r="C19" s="93"/>
      <c r="D19" s="93"/>
      <c r="E19" s="93"/>
      <c r="F19" s="94"/>
      <c r="G19" s="57">
        <f>MROUND(1525*$I$4,5)</f>
        <v>1525</v>
      </c>
      <c r="H19" s="57"/>
      <c r="I19" s="58">
        <f t="shared" si="0"/>
        <v>1525</v>
      </c>
      <c r="J19" s="58"/>
    </row>
    <row r="20" spans="1:10" ht="15" customHeight="1" x14ac:dyDescent="0.2">
      <c r="A20" s="92" t="s">
        <v>131</v>
      </c>
      <c r="B20" s="93"/>
      <c r="C20" s="93"/>
      <c r="D20" s="93"/>
      <c r="E20" s="93"/>
      <c r="F20" s="94"/>
      <c r="G20" s="57">
        <f>MROUND(1700*$I$4,5)</f>
        <v>1700</v>
      </c>
      <c r="H20" s="57"/>
      <c r="I20" s="58">
        <f t="shared" si="0"/>
        <v>1700</v>
      </c>
      <c r="J20" s="58"/>
    </row>
    <row r="21" spans="1:10" ht="15" customHeight="1" x14ac:dyDescent="0.2">
      <c r="A21" s="92" t="s">
        <v>132</v>
      </c>
      <c r="B21" s="93"/>
      <c r="C21" s="93"/>
      <c r="D21" s="93"/>
      <c r="E21" s="93"/>
      <c r="F21" s="94"/>
      <c r="G21" s="57">
        <f>MROUND(1790*$I$4,5)</f>
        <v>1790</v>
      </c>
      <c r="H21" s="57"/>
      <c r="I21" s="58">
        <f t="shared" si="0"/>
        <v>1790</v>
      </c>
      <c r="J21" s="58"/>
    </row>
    <row r="22" spans="1:10" ht="15" customHeight="1" x14ac:dyDescent="0.2">
      <c r="A22" s="92" t="s">
        <v>133</v>
      </c>
      <c r="B22" s="93"/>
      <c r="C22" s="93"/>
      <c r="D22" s="93"/>
      <c r="E22" s="93"/>
      <c r="F22" s="94"/>
      <c r="G22" s="57">
        <f>MROUND(1220*$I$4,5)</f>
        <v>1220</v>
      </c>
      <c r="H22" s="57"/>
      <c r="I22" s="58">
        <f t="shared" si="0"/>
        <v>1220</v>
      </c>
      <c r="J22" s="58"/>
    </row>
    <row r="23" spans="1:10" ht="15" customHeight="1" x14ac:dyDescent="0.2">
      <c r="A23" s="92" t="s">
        <v>134</v>
      </c>
      <c r="B23" s="93"/>
      <c r="C23" s="93"/>
      <c r="D23" s="93"/>
      <c r="E23" s="93"/>
      <c r="F23" s="94"/>
      <c r="G23" s="57">
        <f>MROUND(1710*$I$4,5)</f>
        <v>1710</v>
      </c>
      <c r="H23" s="57"/>
      <c r="I23" s="58">
        <f t="shared" si="0"/>
        <v>1710</v>
      </c>
      <c r="J23" s="58"/>
    </row>
    <row r="24" spans="1:10" ht="15" customHeight="1" x14ac:dyDescent="0.2">
      <c r="A24" s="92" t="s">
        <v>135</v>
      </c>
      <c r="B24" s="93"/>
      <c r="C24" s="93"/>
      <c r="D24" s="93"/>
      <c r="E24" s="93"/>
      <c r="F24" s="94"/>
      <c r="G24" s="57">
        <f>MROUND(1805*$I$4,5)</f>
        <v>1805</v>
      </c>
      <c r="H24" s="57"/>
      <c r="I24" s="58">
        <f t="shared" si="0"/>
        <v>1805</v>
      </c>
      <c r="J24" s="58"/>
    </row>
    <row r="25" spans="1:10" ht="15" customHeight="1" x14ac:dyDescent="0.2">
      <c r="A25" s="92" t="s">
        <v>136</v>
      </c>
      <c r="B25" s="93"/>
      <c r="C25" s="93"/>
      <c r="D25" s="93"/>
      <c r="E25" s="93"/>
      <c r="F25" s="94"/>
      <c r="G25" s="57">
        <f>MROUND(1910*$I$4,5)</f>
        <v>1910</v>
      </c>
      <c r="H25" s="57"/>
      <c r="I25" s="58">
        <f t="shared" si="0"/>
        <v>1910</v>
      </c>
      <c r="J25" s="58"/>
    </row>
    <row r="26" spans="1:10" ht="15" customHeight="1" x14ac:dyDescent="0.2">
      <c r="A26" s="92" t="s">
        <v>267</v>
      </c>
      <c r="B26" s="93"/>
      <c r="C26" s="93"/>
      <c r="D26" s="93"/>
      <c r="E26" s="93"/>
      <c r="F26" s="94"/>
      <c r="G26" s="57">
        <f>MROUND(2030*$I$4,5)</f>
        <v>2030</v>
      </c>
      <c r="H26" s="57"/>
      <c r="I26" s="58">
        <f t="shared" si="0"/>
        <v>2030</v>
      </c>
      <c r="J26" s="58"/>
    </row>
    <row r="27" spans="1:10" ht="1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ht="15" customHeight="1" x14ac:dyDescent="0.25">
      <c r="A28" s="59" t="s">
        <v>137</v>
      </c>
      <c r="B28" s="59"/>
      <c r="C28" s="59"/>
      <c r="D28" s="59"/>
      <c r="E28" s="59"/>
      <c r="F28" s="59"/>
      <c r="G28" s="59"/>
      <c r="H28" s="59"/>
      <c r="I28" s="67" t="s">
        <v>138</v>
      </c>
      <c r="J28" s="67"/>
    </row>
    <row r="29" spans="1:10" ht="15" customHeight="1" x14ac:dyDescent="0.2">
      <c r="A29" s="95" t="s">
        <v>139</v>
      </c>
      <c r="B29" s="55"/>
      <c r="C29" s="55"/>
      <c r="D29" s="55"/>
      <c r="E29" s="55"/>
      <c r="F29" s="55"/>
      <c r="G29" s="55"/>
      <c r="H29" s="55"/>
      <c r="I29" s="55"/>
      <c r="J29" s="55"/>
    </row>
    <row r="30" spans="1:10" ht="15" customHeight="1" x14ac:dyDescent="0.25">
      <c r="A30" s="96" t="s">
        <v>123</v>
      </c>
      <c r="B30" s="97"/>
      <c r="C30" s="97"/>
      <c r="D30" s="97"/>
      <c r="E30" s="97"/>
      <c r="F30" s="98"/>
      <c r="G30" s="62" t="s">
        <v>175</v>
      </c>
      <c r="H30" s="62"/>
      <c r="I30" s="62" t="s">
        <v>39</v>
      </c>
      <c r="J30" s="62"/>
    </row>
    <row r="31" spans="1:10" ht="15" customHeight="1" x14ac:dyDescent="0.2">
      <c r="A31" s="92" t="s">
        <v>140</v>
      </c>
      <c r="B31" s="93"/>
      <c r="C31" s="93"/>
      <c r="D31" s="93"/>
      <c r="E31" s="93"/>
      <c r="F31" s="94"/>
      <c r="G31" s="57">
        <f>MROUND(490*$I$4,5)</f>
        <v>490</v>
      </c>
      <c r="H31" s="57"/>
      <c r="I31" s="58">
        <f>ROUND(G31*$J$4,0)</f>
        <v>490</v>
      </c>
      <c r="J31" s="58"/>
    </row>
    <row r="32" spans="1:10" ht="1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ht="15" customHeight="1" x14ac:dyDescent="0.25">
      <c r="A33" s="59" t="s">
        <v>142</v>
      </c>
      <c r="B33" s="59"/>
      <c r="C33" s="59"/>
      <c r="D33" s="59"/>
      <c r="E33" s="59"/>
      <c r="F33" s="59"/>
      <c r="G33" s="59"/>
      <c r="H33" s="59"/>
      <c r="I33" s="67" t="s">
        <v>143</v>
      </c>
      <c r="J33" s="67"/>
    </row>
    <row r="34" spans="1:10" ht="15" customHeight="1" x14ac:dyDescent="0.2">
      <c r="A34" s="95" t="s">
        <v>144</v>
      </c>
      <c r="B34" s="55"/>
      <c r="C34" s="55"/>
      <c r="D34" s="55"/>
      <c r="E34" s="55"/>
      <c r="F34" s="55"/>
      <c r="G34" s="55"/>
      <c r="H34" s="55"/>
      <c r="I34" s="55"/>
      <c r="J34" s="55"/>
    </row>
    <row r="35" spans="1:10" ht="15" customHeight="1" x14ac:dyDescent="0.25">
      <c r="A35" s="96" t="s">
        <v>123</v>
      </c>
      <c r="B35" s="97"/>
      <c r="C35" s="97"/>
      <c r="D35" s="97"/>
      <c r="E35" s="97"/>
      <c r="F35" s="98"/>
      <c r="G35" s="62" t="s">
        <v>175</v>
      </c>
      <c r="H35" s="62"/>
      <c r="I35" s="62" t="s">
        <v>39</v>
      </c>
      <c r="J35" s="62"/>
    </row>
    <row r="36" spans="1:10" ht="15" customHeight="1" x14ac:dyDescent="0.2">
      <c r="A36" s="92" t="s">
        <v>166</v>
      </c>
      <c r="B36" s="93"/>
      <c r="C36" s="93"/>
      <c r="D36" s="93"/>
      <c r="E36" s="93"/>
      <c r="F36" s="94"/>
      <c r="G36" s="57">
        <f>MROUND(1480*$I$4,5)</f>
        <v>1480</v>
      </c>
      <c r="H36" s="57"/>
      <c r="I36" s="58">
        <f>ROUND(G36*$J$4,0)</f>
        <v>1480</v>
      </c>
      <c r="J36" s="58"/>
    </row>
    <row r="37" spans="1:10" ht="15" customHeight="1" x14ac:dyDescent="0.2">
      <c r="A37" s="92" t="s">
        <v>167</v>
      </c>
      <c r="B37" s="93"/>
      <c r="C37" s="93"/>
      <c r="D37" s="93"/>
      <c r="E37" s="93"/>
      <c r="F37" s="94"/>
      <c r="G37" s="57">
        <f>MROUND(1775*$I$4,5)</f>
        <v>1775</v>
      </c>
      <c r="H37" s="57"/>
      <c r="I37" s="58">
        <f>ROUND(G37*$J$4,0)</f>
        <v>1775</v>
      </c>
      <c r="J37" s="58"/>
    </row>
    <row r="38" spans="1:10" ht="15" customHeight="1" x14ac:dyDescent="0.2">
      <c r="A38" s="92" t="s">
        <v>170</v>
      </c>
      <c r="B38" s="93"/>
      <c r="C38" s="93"/>
      <c r="D38" s="93"/>
      <c r="E38" s="93"/>
      <c r="F38" s="94"/>
      <c r="G38" s="57">
        <f>MROUND(3630*$I$4,5)</f>
        <v>3630</v>
      </c>
      <c r="H38" s="57"/>
      <c r="I38" s="58">
        <f>ROUND(G38*$J$4,0)</f>
        <v>3630</v>
      </c>
      <c r="J38" s="58"/>
    </row>
    <row r="39" spans="1:10" ht="1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ht="15" customHeight="1" x14ac:dyDescent="0.25">
      <c r="A40" s="59" t="s">
        <v>145</v>
      </c>
      <c r="B40" s="59"/>
      <c r="C40" s="59"/>
      <c r="D40" s="59"/>
      <c r="E40" s="59"/>
      <c r="F40" s="59"/>
      <c r="G40" s="59"/>
      <c r="H40" s="59"/>
      <c r="I40" s="67"/>
      <c r="J40" s="67"/>
    </row>
    <row r="41" spans="1:10" ht="15" customHeight="1" x14ac:dyDescent="0.2">
      <c r="A41" s="95" t="s">
        <v>146</v>
      </c>
      <c r="B41" s="55"/>
      <c r="C41" s="55"/>
      <c r="D41" s="55"/>
      <c r="E41" s="55"/>
      <c r="F41" s="55"/>
      <c r="G41" s="55"/>
      <c r="H41" s="55"/>
      <c r="I41" s="55"/>
      <c r="J41" s="55"/>
    </row>
    <row r="42" spans="1:10" ht="15" customHeight="1" x14ac:dyDescent="0.25">
      <c r="A42" s="96" t="s">
        <v>123</v>
      </c>
      <c r="B42" s="97"/>
      <c r="C42" s="97"/>
      <c r="D42" s="97"/>
      <c r="E42" s="97"/>
      <c r="F42" s="98"/>
      <c r="G42" s="62" t="s">
        <v>175</v>
      </c>
      <c r="H42" s="62"/>
      <c r="I42" s="62" t="s">
        <v>39</v>
      </c>
      <c r="J42" s="62"/>
    </row>
    <row r="43" spans="1:10" ht="15" customHeight="1" x14ac:dyDescent="0.2">
      <c r="A43" s="92" t="s">
        <v>261</v>
      </c>
      <c r="B43" s="93"/>
      <c r="C43" s="93"/>
      <c r="D43" s="93"/>
      <c r="E43" s="93"/>
      <c r="F43" s="94"/>
      <c r="G43" s="57">
        <f>MROUND(110*$I$4,5)</f>
        <v>110</v>
      </c>
      <c r="H43" s="57"/>
      <c r="I43" s="58">
        <f>ROUND(G43*$J$4,0)</f>
        <v>110</v>
      </c>
      <c r="J43" s="58"/>
    </row>
    <row r="44" spans="1:10" ht="15" customHeight="1" x14ac:dyDescent="0.2">
      <c r="A44" s="92" t="s">
        <v>262</v>
      </c>
      <c r="B44" s="93"/>
      <c r="C44" s="93"/>
      <c r="D44" s="93"/>
      <c r="E44" s="93"/>
      <c r="F44" s="94"/>
      <c r="G44" s="57">
        <f>MROUND(175*$I$4,5)</f>
        <v>175</v>
      </c>
      <c r="H44" s="57"/>
      <c r="I44" s="58">
        <f>ROUND(G44*$J$4,0)</f>
        <v>175</v>
      </c>
      <c r="J44" s="58"/>
    </row>
    <row r="45" spans="1:10" ht="15" customHeight="1" x14ac:dyDescent="0.2">
      <c r="A45" s="92" t="s">
        <v>263</v>
      </c>
      <c r="B45" s="93"/>
      <c r="C45" s="93"/>
      <c r="D45" s="93"/>
      <c r="E45" s="93"/>
      <c r="F45" s="94"/>
      <c r="G45" s="57">
        <f>MROUND(460*$I$4,5)</f>
        <v>460</v>
      </c>
      <c r="H45" s="57"/>
      <c r="I45" s="58">
        <f>ROUND(G45*$J$4,0)</f>
        <v>460</v>
      </c>
      <c r="J45" s="58"/>
    </row>
    <row r="46" spans="1:10" ht="15" customHeight="1" x14ac:dyDescent="0.2">
      <c r="B46" s="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">
      <c r="A47" s="3" t="s">
        <v>264</v>
      </c>
      <c r="B47" s="3"/>
      <c r="C47" s="3"/>
      <c r="D47" s="3"/>
      <c r="E47" s="3"/>
      <c r="F47" s="3"/>
      <c r="G47" s="3"/>
      <c r="H47" s="3"/>
      <c r="I47" s="3"/>
      <c r="J47" s="3"/>
    </row>
    <row r="48" spans="1:10" ht="15" customHeight="1" x14ac:dyDescent="0.2">
      <c r="A48" s="3" t="s">
        <v>141</v>
      </c>
      <c r="B48" s="3"/>
      <c r="C48" s="3"/>
      <c r="D48" s="3"/>
      <c r="E48" s="3"/>
      <c r="F48" s="3"/>
      <c r="G48" s="3"/>
      <c r="H48" s="3"/>
      <c r="I48" s="3"/>
      <c r="J48" s="3"/>
    </row>
    <row r="49" spans="1:10" ht="15" customHeight="1" x14ac:dyDescent="0.2">
      <c r="A49" s="3" t="s">
        <v>35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ht="15" customHeight="1" x14ac:dyDescent="0.2">
      <c r="A50" s="4" t="s">
        <v>33</v>
      </c>
      <c r="B50" s="3"/>
      <c r="C50" s="3"/>
      <c r="D50" s="3"/>
      <c r="E50" s="3"/>
      <c r="F50" s="3"/>
      <c r="G50" s="3"/>
      <c r="H50" s="3"/>
      <c r="I50" s="3"/>
      <c r="J50" s="3"/>
    </row>
    <row r="51" spans="1:10" ht="15" customHeight="1" x14ac:dyDescent="0.2"/>
    <row r="56" spans="1:10" ht="15" customHeight="1" x14ac:dyDescent="0.2"/>
    <row r="57" spans="1:10" ht="15" customHeight="1" x14ac:dyDescent="0.2"/>
    <row r="58" spans="1:10" ht="15" customHeight="1" x14ac:dyDescent="0.2"/>
    <row r="59" spans="1:10" ht="15" customHeight="1" x14ac:dyDescent="0.2"/>
    <row r="60" spans="1:10" ht="15" customHeight="1" x14ac:dyDescent="0.2"/>
    <row r="61" spans="1:10" ht="15" customHeight="1" x14ac:dyDescent="0.2"/>
    <row r="62" spans="1:10" ht="15" customHeight="1" x14ac:dyDescent="0.2"/>
    <row r="63" spans="1:10" ht="15" customHeight="1" x14ac:dyDescent="0.2"/>
    <row r="64" spans="1:10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</sheetData>
  <sheetProtection algorithmName="SHA-512" hashValue="TbB7pavKKNK+qifBXzzq4n7w1tPM9LbrohugnA8otcnwoCtlS35Gx+ree+XtHDpzl6GayLIx0cBmC3H2FbGL8g==" saltValue="0zU8rJUcw4KN20kZe0p3CQ==" spinCount="100000" sheet="1" objects="1" scenarios="1"/>
  <mergeCells count="93">
    <mergeCell ref="I26:J26"/>
    <mergeCell ref="A45:F45"/>
    <mergeCell ref="G45:H45"/>
    <mergeCell ref="I45:J45"/>
    <mergeCell ref="A44:F44"/>
    <mergeCell ref="G44:H44"/>
    <mergeCell ref="I44:J44"/>
    <mergeCell ref="A41:J41"/>
    <mergeCell ref="A42:F42"/>
    <mergeCell ref="G42:H42"/>
    <mergeCell ref="I42:J42"/>
    <mergeCell ref="A43:F43"/>
    <mergeCell ref="G43:H43"/>
    <mergeCell ref="I43:J43"/>
    <mergeCell ref="A38:F38"/>
    <mergeCell ref="G38:H38"/>
    <mergeCell ref="I38:J38"/>
    <mergeCell ref="A40:H40"/>
    <mergeCell ref="I40:J40"/>
    <mergeCell ref="A36:F36"/>
    <mergeCell ref="G36:H36"/>
    <mergeCell ref="I36:J36"/>
    <mergeCell ref="A37:F37"/>
    <mergeCell ref="G37:H37"/>
    <mergeCell ref="I37:J37"/>
    <mergeCell ref="A33:H33"/>
    <mergeCell ref="I33:J33"/>
    <mergeCell ref="A34:J34"/>
    <mergeCell ref="A35:F35"/>
    <mergeCell ref="G35:H35"/>
    <mergeCell ref="I35:J35"/>
    <mergeCell ref="A31:F31"/>
    <mergeCell ref="G31:H31"/>
    <mergeCell ref="I31:J31"/>
    <mergeCell ref="I28:J28"/>
    <mergeCell ref="A29:J29"/>
    <mergeCell ref="A30:F30"/>
    <mergeCell ref="G30:H30"/>
    <mergeCell ref="I30:J30"/>
    <mergeCell ref="A23:F23"/>
    <mergeCell ref="A24:F24"/>
    <mergeCell ref="A25:F25"/>
    <mergeCell ref="A28:H28"/>
    <mergeCell ref="A18:F18"/>
    <mergeCell ref="A19:F19"/>
    <mergeCell ref="A20:F20"/>
    <mergeCell ref="A21:F21"/>
    <mergeCell ref="A22:F22"/>
    <mergeCell ref="G19:H19"/>
    <mergeCell ref="G22:H22"/>
    <mergeCell ref="G25:H25"/>
    <mergeCell ref="A26:F26"/>
    <mergeCell ref="G26:H26"/>
    <mergeCell ref="A10:J10"/>
    <mergeCell ref="A11:F11"/>
    <mergeCell ref="A13:F13"/>
    <mergeCell ref="A14:F14"/>
    <mergeCell ref="A15:F15"/>
    <mergeCell ref="A12:F12"/>
    <mergeCell ref="G12:H12"/>
    <mergeCell ref="I12:J12"/>
    <mergeCell ref="A16:F16"/>
    <mergeCell ref="A17:F17"/>
    <mergeCell ref="I1:J1"/>
    <mergeCell ref="A6:H7"/>
    <mergeCell ref="I2:J3"/>
    <mergeCell ref="A9:H9"/>
    <mergeCell ref="I9:J9"/>
    <mergeCell ref="G13:H13"/>
    <mergeCell ref="I13:J13"/>
    <mergeCell ref="G11:H11"/>
    <mergeCell ref="I11:J11"/>
    <mergeCell ref="G14:H14"/>
    <mergeCell ref="I14:J14"/>
    <mergeCell ref="G15:H15"/>
    <mergeCell ref="I15:J15"/>
    <mergeCell ref="G16:H16"/>
    <mergeCell ref="I16:J16"/>
    <mergeCell ref="G17:H17"/>
    <mergeCell ref="I17:J17"/>
    <mergeCell ref="G18:H18"/>
    <mergeCell ref="I18:J18"/>
    <mergeCell ref="I19:J19"/>
    <mergeCell ref="G20:H20"/>
    <mergeCell ref="I20:J20"/>
    <mergeCell ref="G21:H21"/>
    <mergeCell ref="I21:J21"/>
    <mergeCell ref="I25:J25"/>
    <mergeCell ref="I22:J22"/>
    <mergeCell ref="G23:H23"/>
    <mergeCell ref="I23:J23"/>
    <mergeCell ref="G24:H24"/>
    <mergeCell ref="I24:J24"/>
  </mergeCells>
  <printOptions horizontalCentered="1"/>
  <pageMargins left="0.59055118110236227" right="0.59055118110236227" top="0.78740157480314965" bottom="0.78740157480314965" header="0.39370078740157483" footer="0.39370078740157483"/>
  <pageSetup paperSize="9" scale="93" orientation="portrait" r:id="rId1"/>
  <headerFooter>
    <oddFooter xml:space="preserve">&amp;L&amp;"Arial,Obyčejné"&amp;10   ITS097-01, © Greif-akustika, s.r.o.&amp;R&amp;"Arial,Obyčejné"&amp;10List &amp;P/&amp;N    </oddFooter>
  </headerFooter>
  <rowBreaks count="2" manualBreakCount="2">
    <brk id="50" max="9" man="1"/>
    <brk id="100" max="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2" tint="-0.499984740745262"/>
  </sheetPr>
  <dimension ref="A1:J1997"/>
  <sheetViews>
    <sheetView showGridLines="0" view="pageBreakPreview" zoomScale="120" zoomScaleNormal="120" zoomScaleSheetLayoutView="120" workbookViewId="0">
      <selection activeCell="I2" sqref="I2:J3"/>
    </sheetView>
  </sheetViews>
  <sheetFormatPr defaultColWidth="9" defaultRowHeight="14.25" x14ac:dyDescent="0.2"/>
  <cols>
    <col min="1" max="25" width="8.625" style="1" customWidth="1"/>
    <col min="26" max="16384" width="9" style="1"/>
  </cols>
  <sheetData>
    <row r="1" spans="1:10" ht="15" customHeight="1" thickBot="1" x14ac:dyDescent="0.25">
      <c r="I1" s="49" t="s">
        <v>2</v>
      </c>
      <c r="J1" s="49"/>
    </row>
    <row r="2" spans="1:10" ht="15" customHeight="1" x14ac:dyDescent="0.2">
      <c r="I2" s="63">
        <f>'Buňky G-GE-GH'!I2:J3</f>
        <v>0</v>
      </c>
      <c r="J2" s="64"/>
    </row>
    <row r="3" spans="1:10" ht="15" customHeight="1" thickBot="1" x14ac:dyDescent="0.25">
      <c r="I3" s="65"/>
      <c r="J3" s="66"/>
    </row>
    <row r="4" spans="1:10" ht="15" customHeight="1" x14ac:dyDescent="0.2">
      <c r="I4" s="23">
        <f>1*1.03*1.03*1.03*1.2*1.15*1.06</f>
        <v>1.5984410555999999</v>
      </c>
      <c r="J4" s="23">
        <f>1-I2</f>
        <v>1</v>
      </c>
    </row>
    <row r="5" spans="1:10" ht="15" customHeight="1" x14ac:dyDescent="0.2"/>
    <row r="6" spans="1:10" ht="15" customHeight="1" x14ac:dyDescent="0.2">
      <c r="A6" s="50" t="s">
        <v>147</v>
      </c>
      <c r="B6" s="50"/>
      <c r="C6" s="50"/>
      <c r="D6" s="50"/>
      <c r="E6" s="50"/>
      <c r="F6" s="50"/>
      <c r="G6" s="50"/>
      <c r="H6" s="50"/>
    </row>
    <row r="7" spans="1:10" ht="15" customHeight="1" x14ac:dyDescent="0.2">
      <c r="A7" s="50"/>
      <c r="B7" s="50"/>
      <c r="C7" s="50"/>
      <c r="D7" s="50"/>
      <c r="E7" s="50"/>
      <c r="F7" s="50"/>
      <c r="G7" s="50"/>
      <c r="H7" s="50"/>
    </row>
    <row r="8" spans="1:10" ht="15" customHeight="1" x14ac:dyDescent="0.2"/>
    <row r="9" spans="1:10" ht="15" customHeight="1" x14ac:dyDescent="0.25">
      <c r="A9" s="59" t="s">
        <v>148</v>
      </c>
      <c r="B9" s="59"/>
      <c r="C9" s="59"/>
      <c r="D9" s="59"/>
      <c r="E9" s="59"/>
      <c r="F9" s="59"/>
      <c r="G9" s="59"/>
      <c r="H9" s="59"/>
      <c r="I9" s="67" t="s">
        <v>149</v>
      </c>
      <c r="J9" s="67"/>
    </row>
    <row r="10" spans="1:10" ht="15" customHeight="1" x14ac:dyDescent="0.2">
      <c r="A10" s="95" t="s">
        <v>158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0" ht="15" customHeight="1" x14ac:dyDescent="0.25">
      <c r="A11" s="99" t="s">
        <v>153</v>
      </c>
      <c r="B11" s="100"/>
      <c r="C11" s="101"/>
      <c r="D11" s="16" t="s">
        <v>150</v>
      </c>
      <c r="E11" s="16" t="s">
        <v>151</v>
      </c>
      <c r="F11" s="16" t="s">
        <v>152</v>
      </c>
      <c r="G11" s="62" t="s">
        <v>175</v>
      </c>
      <c r="H11" s="62"/>
      <c r="I11" s="62" t="s">
        <v>39</v>
      </c>
      <c r="J11" s="62"/>
    </row>
    <row r="12" spans="1:10" ht="15" customHeight="1" x14ac:dyDescent="0.2">
      <c r="A12" s="92" t="s">
        <v>154</v>
      </c>
      <c r="B12" s="93"/>
      <c r="C12" s="94"/>
      <c r="D12" s="17">
        <v>1100</v>
      </c>
      <c r="E12" s="17">
        <v>1090</v>
      </c>
      <c r="F12" s="17">
        <v>370</v>
      </c>
      <c r="G12" s="102">
        <f>MROUND(29990*$I$4,5)</f>
        <v>47935</v>
      </c>
      <c r="H12" s="103"/>
      <c r="I12" s="106">
        <f>ROUND(G12*$J$4,0)</f>
        <v>47935</v>
      </c>
      <c r="J12" s="107"/>
    </row>
    <row r="13" spans="1:10" ht="15" customHeight="1" x14ac:dyDescent="0.2">
      <c r="A13" s="92" t="s">
        <v>155</v>
      </c>
      <c r="B13" s="93"/>
      <c r="C13" s="94"/>
      <c r="D13" s="17">
        <v>1350</v>
      </c>
      <c r="E13" s="17">
        <v>1300</v>
      </c>
      <c r="F13" s="17">
        <v>1600</v>
      </c>
      <c r="G13" s="104"/>
      <c r="H13" s="105"/>
      <c r="I13" s="108"/>
      <c r="J13" s="109"/>
    </row>
    <row r="14" spans="1:10" ht="15" customHeight="1" x14ac:dyDescent="0.25">
      <c r="A14" s="99" t="s">
        <v>156</v>
      </c>
      <c r="B14" s="100"/>
      <c r="C14" s="101"/>
      <c r="D14" s="16" t="s">
        <v>150</v>
      </c>
      <c r="E14" s="16" t="s">
        <v>151</v>
      </c>
      <c r="F14" s="16" t="s">
        <v>152</v>
      </c>
      <c r="G14" s="62" t="s">
        <v>175</v>
      </c>
      <c r="H14" s="62"/>
      <c r="I14" s="62" t="s">
        <v>39</v>
      </c>
      <c r="J14" s="62"/>
    </row>
    <row r="15" spans="1:10" ht="15" customHeight="1" x14ac:dyDescent="0.2">
      <c r="A15" s="92" t="s">
        <v>154</v>
      </c>
      <c r="B15" s="93"/>
      <c r="C15" s="94"/>
      <c r="D15" s="17">
        <v>1050</v>
      </c>
      <c r="E15" s="17">
        <v>1020</v>
      </c>
      <c r="F15" s="17">
        <v>490</v>
      </c>
      <c r="G15" s="102">
        <f>MROUND((39990+7490)*$I$4,5)</f>
        <v>75895</v>
      </c>
      <c r="H15" s="103"/>
      <c r="I15" s="106">
        <f>ROUND(G15*$J$4,0)</f>
        <v>75895</v>
      </c>
      <c r="J15" s="107"/>
    </row>
    <row r="16" spans="1:10" ht="15" customHeight="1" x14ac:dyDescent="0.2">
      <c r="A16" s="92" t="s">
        <v>155</v>
      </c>
      <c r="B16" s="93"/>
      <c r="C16" s="94"/>
      <c r="D16" s="17">
        <v>1300</v>
      </c>
      <c r="E16" s="17">
        <v>1420</v>
      </c>
      <c r="F16" s="17">
        <v>1610</v>
      </c>
      <c r="G16" s="104"/>
      <c r="H16" s="105"/>
      <c r="I16" s="108"/>
      <c r="J16" s="109"/>
    </row>
    <row r="17" spans="1:10" ht="15" customHeight="1" x14ac:dyDescent="0.25">
      <c r="A17" s="99" t="s">
        <v>157</v>
      </c>
      <c r="B17" s="100"/>
      <c r="C17" s="101"/>
      <c r="D17" s="16" t="s">
        <v>150</v>
      </c>
      <c r="E17" s="16" t="s">
        <v>151</v>
      </c>
      <c r="F17" s="16" t="s">
        <v>152</v>
      </c>
      <c r="G17" s="62" t="s">
        <v>175</v>
      </c>
      <c r="H17" s="62"/>
      <c r="I17" s="62" t="s">
        <v>39</v>
      </c>
      <c r="J17" s="62"/>
    </row>
    <row r="18" spans="1:10" ht="15" customHeight="1" x14ac:dyDescent="0.2">
      <c r="A18" s="92" t="s">
        <v>154</v>
      </c>
      <c r="B18" s="93"/>
      <c r="C18" s="94"/>
      <c r="D18" s="17">
        <v>1050</v>
      </c>
      <c r="E18" s="17">
        <v>1520</v>
      </c>
      <c r="F18" s="17">
        <v>490</v>
      </c>
      <c r="G18" s="102">
        <f>MROUND((59990+7490)*$I$4,5)</f>
        <v>107865</v>
      </c>
      <c r="H18" s="103"/>
      <c r="I18" s="106">
        <f>ROUND(G18*$J$4,0)</f>
        <v>107865</v>
      </c>
      <c r="J18" s="107"/>
    </row>
    <row r="19" spans="1:10" ht="15" customHeight="1" x14ac:dyDescent="0.2">
      <c r="A19" s="92" t="s">
        <v>155</v>
      </c>
      <c r="B19" s="93"/>
      <c r="C19" s="94"/>
      <c r="D19" s="17">
        <v>1300</v>
      </c>
      <c r="E19" s="17">
        <v>1920</v>
      </c>
      <c r="F19" s="17">
        <v>1610</v>
      </c>
      <c r="G19" s="104"/>
      <c r="H19" s="105"/>
      <c r="I19" s="108"/>
      <c r="J19" s="109"/>
    </row>
    <row r="20" spans="1:10" ht="15" customHeight="1" x14ac:dyDescent="0.25">
      <c r="A20" s="99" t="s">
        <v>257</v>
      </c>
      <c r="B20" s="100"/>
      <c r="C20" s="101"/>
      <c r="D20" s="16" t="s">
        <v>150</v>
      </c>
      <c r="E20" s="16" t="s">
        <v>151</v>
      </c>
      <c r="F20" s="16" t="s">
        <v>152</v>
      </c>
      <c r="G20" s="62" t="s">
        <v>175</v>
      </c>
      <c r="H20" s="62"/>
      <c r="I20" s="62" t="s">
        <v>39</v>
      </c>
      <c r="J20" s="62"/>
    </row>
    <row r="21" spans="1:10" ht="15" customHeight="1" x14ac:dyDescent="0.2">
      <c r="A21" s="92" t="s">
        <v>154</v>
      </c>
      <c r="B21" s="93"/>
      <c r="C21" s="94"/>
      <c r="D21" s="17">
        <v>920</v>
      </c>
      <c r="E21" s="17">
        <v>1780</v>
      </c>
      <c r="F21" s="17">
        <v>740</v>
      </c>
      <c r="G21" s="102">
        <f>MROUND((79990+6490)*$I$4,5)</f>
        <v>138235</v>
      </c>
      <c r="H21" s="103"/>
      <c r="I21" s="106">
        <f>ROUND(G21*$J$4,0)</f>
        <v>138235</v>
      </c>
      <c r="J21" s="107"/>
    </row>
    <row r="22" spans="1:10" ht="15" customHeight="1" x14ac:dyDescent="0.2">
      <c r="A22" s="92" t="s">
        <v>155</v>
      </c>
      <c r="B22" s="93"/>
      <c r="C22" s="94"/>
      <c r="D22" s="17">
        <v>1150</v>
      </c>
      <c r="E22" s="17">
        <v>2865</v>
      </c>
      <c r="F22" s="17">
        <v>1560</v>
      </c>
      <c r="G22" s="104"/>
      <c r="H22" s="105"/>
      <c r="I22" s="108"/>
      <c r="J22" s="109"/>
    </row>
    <row r="23" spans="1:10" ht="15" customHeight="1" x14ac:dyDescent="0.25">
      <c r="A23" s="99" t="s">
        <v>258</v>
      </c>
      <c r="B23" s="100"/>
      <c r="C23" s="101"/>
      <c r="D23" s="16" t="s">
        <v>150</v>
      </c>
      <c r="E23" s="16" t="s">
        <v>151</v>
      </c>
      <c r="F23" s="16" t="s">
        <v>152</v>
      </c>
      <c r="G23" s="62" t="s">
        <v>175</v>
      </c>
      <c r="H23" s="62"/>
      <c r="I23" s="62" t="s">
        <v>39</v>
      </c>
      <c r="J23" s="62"/>
    </row>
    <row r="24" spans="1:10" ht="15" customHeight="1" x14ac:dyDescent="0.2">
      <c r="A24" s="92" t="s">
        <v>154</v>
      </c>
      <c r="B24" s="93"/>
      <c r="C24" s="94"/>
      <c r="D24" s="17">
        <v>1300</v>
      </c>
      <c r="E24" s="17">
        <v>2000</v>
      </c>
      <c r="F24" s="17">
        <v>750</v>
      </c>
      <c r="G24" s="102">
        <f>MROUND((134990+8990)*$I$4,5)</f>
        <v>230145</v>
      </c>
      <c r="H24" s="103"/>
      <c r="I24" s="106">
        <f>ROUND(G24*$J$4,0)</f>
        <v>230145</v>
      </c>
      <c r="J24" s="107"/>
    </row>
    <row r="25" spans="1:10" ht="15" customHeight="1" x14ac:dyDescent="0.2">
      <c r="A25" s="92" t="s">
        <v>155</v>
      </c>
      <c r="B25" s="93"/>
      <c r="C25" s="94"/>
      <c r="D25" s="17">
        <v>1700</v>
      </c>
      <c r="E25" s="17">
        <v>3000</v>
      </c>
      <c r="F25" s="17">
        <v>1700</v>
      </c>
      <c r="G25" s="104"/>
      <c r="H25" s="105"/>
      <c r="I25" s="108"/>
      <c r="J25" s="109"/>
    </row>
    <row r="26" spans="1:10" ht="1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" customHeight="1" x14ac:dyDescent="0.25">
      <c r="A27" s="59" t="s">
        <v>211</v>
      </c>
      <c r="B27" s="59"/>
      <c r="C27" s="59"/>
      <c r="D27" s="59"/>
      <c r="E27" s="59"/>
      <c r="F27" s="59"/>
      <c r="G27" s="59"/>
      <c r="H27" s="59"/>
      <c r="I27" s="67" t="s">
        <v>149</v>
      </c>
      <c r="J27" s="67"/>
    </row>
    <row r="28" spans="1:10" ht="15" customHeight="1" x14ac:dyDescent="0.2">
      <c r="A28" s="95" t="s">
        <v>214</v>
      </c>
      <c r="B28" s="55"/>
      <c r="C28" s="55"/>
      <c r="D28" s="55"/>
      <c r="E28" s="55"/>
      <c r="F28" s="55"/>
      <c r="G28" s="55"/>
      <c r="H28" s="55"/>
      <c r="I28" s="55"/>
      <c r="J28" s="55"/>
    </row>
    <row r="29" spans="1:10" ht="15" customHeight="1" x14ac:dyDescent="0.25">
      <c r="A29" s="99" t="s">
        <v>160</v>
      </c>
      <c r="B29" s="100"/>
      <c r="C29" s="100"/>
      <c r="D29" s="100"/>
      <c r="E29" s="100"/>
      <c r="F29" s="101"/>
      <c r="G29" s="62" t="s">
        <v>175</v>
      </c>
      <c r="H29" s="62"/>
      <c r="I29" s="62" t="s">
        <v>39</v>
      </c>
      <c r="J29" s="62"/>
    </row>
    <row r="30" spans="1:10" ht="15" customHeight="1" x14ac:dyDescent="0.2">
      <c r="A30" s="92" t="s">
        <v>212</v>
      </c>
      <c r="B30" s="93"/>
      <c r="C30" s="93"/>
      <c r="D30" s="93"/>
      <c r="E30" s="93"/>
      <c r="F30" s="94"/>
      <c r="G30" s="57">
        <f>MROUND(2000*$I$4,5)</f>
        <v>3195</v>
      </c>
      <c r="H30" s="57"/>
      <c r="I30" s="58">
        <f>ROUND(G30*$J$4,0)</f>
        <v>3195</v>
      </c>
      <c r="J30" s="58"/>
    </row>
    <row r="31" spans="1:10" ht="15" customHeight="1" x14ac:dyDescent="0.2">
      <c r="A31" s="92" t="s">
        <v>213</v>
      </c>
      <c r="B31" s="93"/>
      <c r="C31" s="93"/>
      <c r="D31" s="93"/>
      <c r="E31" s="93"/>
      <c r="F31" s="94"/>
      <c r="G31" s="57">
        <f>MROUND(4500*$I$4,5)</f>
        <v>7195</v>
      </c>
      <c r="H31" s="57"/>
      <c r="I31" s="58">
        <f>ROUND(G31*$J$4,0)</f>
        <v>7195</v>
      </c>
      <c r="J31" s="58"/>
    </row>
    <row r="32" spans="1:10" ht="15" customHeight="1" x14ac:dyDescent="0.2">
      <c r="A32" s="92" t="s">
        <v>259</v>
      </c>
      <c r="B32" s="93"/>
      <c r="C32" s="93"/>
      <c r="D32" s="93"/>
      <c r="E32" s="93"/>
      <c r="F32" s="94"/>
      <c r="G32" s="57">
        <f>MROUND(3500*$I$4,5)</f>
        <v>5595</v>
      </c>
      <c r="H32" s="57"/>
      <c r="I32" s="58">
        <f>ROUND(G32*$J$4,0)</f>
        <v>5595</v>
      </c>
      <c r="J32" s="58"/>
    </row>
    <row r="33" spans="1:10" ht="15" customHeight="1" x14ac:dyDescent="0.2">
      <c r="A33" s="92" t="s">
        <v>260</v>
      </c>
      <c r="B33" s="93"/>
      <c r="C33" s="93"/>
      <c r="D33" s="93"/>
      <c r="E33" s="93"/>
      <c r="F33" s="94"/>
      <c r="G33" s="57">
        <f>MROUND(4500*$I$4,5)</f>
        <v>7195</v>
      </c>
      <c r="H33" s="57"/>
      <c r="I33" s="58">
        <f>ROUND(G33*$J$4,0)</f>
        <v>7195</v>
      </c>
      <c r="J33" s="58"/>
    </row>
    <row r="34" spans="1:10" ht="1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5" customHeight="1" x14ac:dyDescent="0.25">
      <c r="A35" s="59" t="s">
        <v>159</v>
      </c>
      <c r="B35" s="59"/>
      <c r="C35" s="59"/>
      <c r="D35" s="59"/>
      <c r="E35" s="59"/>
      <c r="F35" s="59"/>
      <c r="G35" s="59"/>
      <c r="H35" s="59"/>
      <c r="I35" s="67"/>
      <c r="J35" s="67"/>
    </row>
    <row r="36" spans="1:10" ht="15" customHeight="1" x14ac:dyDescent="0.2">
      <c r="A36" s="95" t="s">
        <v>165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0" ht="15" customHeight="1" x14ac:dyDescent="0.25">
      <c r="A37" s="99" t="s">
        <v>160</v>
      </c>
      <c r="B37" s="100"/>
      <c r="C37" s="100"/>
      <c r="D37" s="100"/>
      <c r="E37" s="100"/>
      <c r="F37" s="101"/>
      <c r="G37" s="62" t="s">
        <v>175</v>
      </c>
      <c r="H37" s="62"/>
      <c r="I37" s="62" t="s">
        <v>39</v>
      </c>
      <c r="J37" s="62"/>
    </row>
    <row r="38" spans="1:10" ht="15" customHeight="1" x14ac:dyDescent="0.2">
      <c r="A38" s="92" t="s">
        <v>161</v>
      </c>
      <c r="B38" s="93"/>
      <c r="C38" s="93"/>
      <c r="D38" s="93"/>
      <c r="E38" s="93"/>
      <c r="F38" s="94"/>
      <c r="G38" s="57">
        <f>MROUND(4800*$I$4,5)</f>
        <v>7675</v>
      </c>
      <c r="H38" s="57"/>
      <c r="I38" s="58">
        <f>ROUND(G38*$J$4,0)</f>
        <v>7675</v>
      </c>
      <c r="J38" s="58"/>
    </row>
    <row r="39" spans="1:10" ht="15" customHeight="1" x14ac:dyDescent="0.2">
      <c r="A39" s="18"/>
      <c r="B39" s="18"/>
      <c r="C39" s="18"/>
      <c r="D39" s="18"/>
      <c r="E39" s="18"/>
      <c r="F39" s="18"/>
      <c r="G39" s="6"/>
      <c r="H39" s="6"/>
      <c r="I39" s="7"/>
      <c r="J39" s="7"/>
    </row>
    <row r="40" spans="1:10" ht="15" customHeight="1" x14ac:dyDescent="0.2">
      <c r="A40" s="3" t="s">
        <v>270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ht="15" customHeight="1" x14ac:dyDescent="0.2">
      <c r="A41" s="3" t="s">
        <v>268</v>
      </c>
      <c r="B41" s="3"/>
      <c r="C41" s="3"/>
      <c r="D41" s="3"/>
      <c r="E41" s="3"/>
      <c r="F41" s="3"/>
      <c r="G41" s="3"/>
      <c r="H41" s="3"/>
      <c r="I41" s="3"/>
      <c r="J41" s="3"/>
    </row>
    <row r="42" spans="1:10" ht="15" customHeight="1" x14ac:dyDescent="0.2">
      <c r="A42" s="3" t="s">
        <v>269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ht="15" customHeight="1" x14ac:dyDescent="0.2">
      <c r="A43" s="3" t="s">
        <v>271</v>
      </c>
      <c r="B43" s="5"/>
      <c r="C43" s="15"/>
      <c r="D43" s="15"/>
      <c r="E43" s="15"/>
      <c r="F43" s="15"/>
      <c r="G43" s="15"/>
      <c r="H43" s="15"/>
      <c r="I43" s="15"/>
      <c r="J43" s="15"/>
    </row>
    <row r="44" spans="1:10" ht="15" customHeight="1" x14ac:dyDescent="0.2">
      <c r="A44" s="3" t="s">
        <v>272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15" customHeight="1" x14ac:dyDescent="0.2">
      <c r="A45" s="3" t="s">
        <v>266</v>
      </c>
      <c r="B45" s="3"/>
      <c r="C45" s="3"/>
      <c r="D45" s="3"/>
      <c r="E45" s="3"/>
      <c r="F45" s="3"/>
      <c r="G45" s="3"/>
      <c r="H45" s="3"/>
      <c r="I45" s="3"/>
      <c r="J45" s="3"/>
    </row>
    <row r="46" spans="1:10" ht="15" customHeight="1" x14ac:dyDescent="0.2">
      <c r="A46" s="3" t="s">
        <v>265</v>
      </c>
      <c r="B46" s="3"/>
      <c r="C46" s="3"/>
      <c r="D46" s="3"/>
      <c r="E46" s="3"/>
      <c r="F46" s="3"/>
      <c r="G46" s="3"/>
      <c r="H46" s="3"/>
      <c r="I46" s="3"/>
      <c r="J46" s="3"/>
    </row>
    <row r="47" spans="1:10" ht="15" customHeight="1" x14ac:dyDescent="0.2">
      <c r="A47" s="4" t="s">
        <v>33</v>
      </c>
      <c r="B47" s="3"/>
      <c r="C47" s="3"/>
      <c r="D47" s="3"/>
      <c r="E47" s="3"/>
      <c r="F47" s="3"/>
      <c r="G47" s="3"/>
      <c r="H47" s="3"/>
      <c r="I47" s="3"/>
      <c r="J47" s="3"/>
    </row>
    <row r="48" spans="1:10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</sheetData>
  <sheetProtection algorithmName="SHA-512" hashValue="ZGYrkjOyUVZDZEIj0BCtZiYumOP0aswAYHB47/v8qE0BTf9GPkhPDpkRNpzgykIM5mgWzspm9FBzci2Ncf9Auw==" saltValue="R9hQ75W5WWriBJO6+VxIYA==" spinCount="100000" sheet="1" objects="1" scenarios="1"/>
  <mergeCells count="68">
    <mergeCell ref="A36:J36"/>
    <mergeCell ref="I35:J35"/>
    <mergeCell ref="A35:H35"/>
    <mergeCell ref="A33:F33"/>
    <mergeCell ref="G33:H33"/>
    <mergeCell ref="I33:J33"/>
    <mergeCell ref="G31:H31"/>
    <mergeCell ref="I31:J31"/>
    <mergeCell ref="A32:F32"/>
    <mergeCell ref="G32:H32"/>
    <mergeCell ref="I32:J32"/>
    <mergeCell ref="A38:F38"/>
    <mergeCell ref="G38:H38"/>
    <mergeCell ref="I38:J38"/>
    <mergeCell ref="A27:H27"/>
    <mergeCell ref="I27:J27"/>
    <mergeCell ref="A28:J28"/>
    <mergeCell ref="A30:F30"/>
    <mergeCell ref="G29:H29"/>
    <mergeCell ref="I29:J29"/>
    <mergeCell ref="A37:F37"/>
    <mergeCell ref="G37:H37"/>
    <mergeCell ref="I37:J37"/>
    <mergeCell ref="A29:F29"/>
    <mergeCell ref="G30:H30"/>
    <mergeCell ref="I30:J30"/>
    <mergeCell ref="A31:F31"/>
    <mergeCell ref="G18:H19"/>
    <mergeCell ref="I18:J19"/>
    <mergeCell ref="A19:C19"/>
    <mergeCell ref="G17:H17"/>
    <mergeCell ref="I17:J17"/>
    <mergeCell ref="A17:C17"/>
    <mergeCell ref="A18:C18"/>
    <mergeCell ref="G15:H16"/>
    <mergeCell ref="I15:J16"/>
    <mergeCell ref="A16:C16"/>
    <mergeCell ref="G14:H14"/>
    <mergeCell ref="I14:J14"/>
    <mergeCell ref="A14:C14"/>
    <mergeCell ref="A15:C15"/>
    <mergeCell ref="A13:C13"/>
    <mergeCell ref="G12:H13"/>
    <mergeCell ref="I12:J13"/>
    <mergeCell ref="G11:H11"/>
    <mergeCell ref="I11:J11"/>
    <mergeCell ref="A11:C11"/>
    <mergeCell ref="A12:C12"/>
    <mergeCell ref="A10:J10"/>
    <mergeCell ref="I1:J1"/>
    <mergeCell ref="A6:H7"/>
    <mergeCell ref="I2:J3"/>
    <mergeCell ref="A9:H9"/>
    <mergeCell ref="I9:J9"/>
    <mergeCell ref="A20:C20"/>
    <mergeCell ref="G20:H20"/>
    <mergeCell ref="I20:J20"/>
    <mergeCell ref="A21:C21"/>
    <mergeCell ref="G21:H22"/>
    <mergeCell ref="I21:J22"/>
    <mergeCell ref="A22:C22"/>
    <mergeCell ref="G23:H23"/>
    <mergeCell ref="I23:J23"/>
    <mergeCell ref="A23:C23"/>
    <mergeCell ref="A24:C24"/>
    <mergeCell ref="G24:H25"/>
    <mergeCell ref="I24:J25"/>
    <mergeCell ref="A25:C25"/>
  </mergeCells>
  <printOptions horizontalCentered="1"/>
  <pageMargins left="0.59055118110236227" right="0.59055118110236227" top="0.78740157480314965" bottom="0.78740157480314965" header="0.39370078740157483" footer="0.39370078740157483"/>
  <pageSetup paperSize="9" scale="93" orientation="portrait" r:id="rId1"/>
  <headerFooter>
    <oddFooter xml:space="preserve">&amp;L&amp;"Arial,Obyčejné"&amp;10   ITS097-01, © Greif-akustika, s.r.o.&amp;R&amp;"Arial,Obyčejné"&amp;10List &amp;P/&amp;N    </oddFooter>
  </headerFooter>
  <rowBreaks count="1" manualBreakCount="1">
    <brk id="97" max="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tabColor rgb="FF002060"/>
  </sheetPr>
  <dimension ref="A1:J2000"/>
  <sheetViews>
    <sheetView showGridLines="0" view="pageBreakPreview" zoomScale="120" zoomScaleNormal="120" zoomScaleSheetLayoutView="120" workbookViewId="0">
      <selection activeCell="I2" sqref="I2:J3"/>
    </sheetView>
  </sheetViews>
  <sheetFormatPr defaultColWidth="9" defaultRowHeight="14.25" x14ac:dyDescent="0.2"/>
  <cols>
    <col min="1" max="25" width="8.625" style="1" customWidth="1"/>
    <col min="26" max="16384" width="9" style="1"/>
  </cols>
  <sheetData>
    <row r="1" spans="1:10" ht="15" customHeight="1" thickBot="1" x14ac:dyDescent="0.25">
      <c r="I1" s="49" t="s">
        <v>2</v>
      </c>
      <c r="J1" s="49"/>
    </row>
    <row r="2" spans="1:10" ht="15" customHeight="1" x14ac:dyDescent="0.2">
      <c r="I2" s="63">
        <f>'Buňky G-GE-GH'!I2:J3</f>
        <v>0</v>
      </c>
      <c r="J2" s="64"/>
    </row>
    <row r="3" spans="1:10" ht="15" customHeight="1" thickBot="1" x14ac:dyDescent="0.25">
      <c r="I3" s="65"/>
      <c r="J3" s="66"/>
    </row>
    <row r="4" spans="1:10" ht="15" customHeight="1" x14ac:dyDescent="0.2">
      <c r="I4" s="23">
        <f>1*1.03*1.03*1*1.12*1.15*1.06</f>
        <v>1.4484255520000002</v>
      </c>
      <c r="J4" s="23">
        <f>1-I2</f>
        <v>1</v>
      </c>
    </row>
    <row r="5" spans="1:10" ht="15" customHeight="1" x14ac:dyDescent="0.2"/>
    <row r="6" spans="1:10" ht="15" customHeight="1" x14ac:dyDescent="0.2">
      <c r="A6" s="50" t="s">
        <v>177</v>
      </c>
      <c r="B6" s="50"/>
      <c r="C6" s="50"/>
      <c r="D6" s="50"/>
      <c r="E6" s="50"/>
      <c r="F6" s="50"/>
      <c r="G6" s="50"/>
      <c r="H6" s="50"/>
    </row>
    <row r="7" spans="1:10" ht="15" customHeight="1" x14ac:dyDescent="0.2">
      <c r="A7" s="50"/>
      <c r="B7" s="50"/>
      <c r="C7" s="50"/>
      <c r="D7" s="50"/>
      <c r="E7" s="50"/>
      <c r="F7" s="50"/>
      <c r="G7" s="50"/>
      <c r="H7" s="50"/>
    </row>
    <row r="8" spans="1:10" ht="15" customHeight="1" x14ac:dyDescent="0.2"/>
    <row r="9" spans="1:10" ht="15" customHeight="1" x14ac:dyDescent="0.25">
      <c r="A9" s="59" t="s">
        <v>185</v>
      </c>
      <c r="B9" s="59"/>
      <c r="C9" s="59"/>
      <c r="D9" s="59"/>
      <c r="E9" s="59"/>
      <c r="F9" s="59"/>
      <c r="G9" s="59"/>
      <c r="H9" s="59"/>
      <c r="I9" s="67" t="s">
        <v>176</v>
      </c>
      <c r="J9" s="67"/>
    </row>
    <row r="10" spans="1:10" ht="15" customHeight="1" x14ac:dyDescent="0.2">
      <c r="A10" s="95" t="s">
        <v>183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0" ht="15" customHeight="1" x14ac:dyDescent="0.25">
      <c r="A11" s="99" t="s">
        <v>178</v>
      </c>
      <c r="B11" s="100"/>
      <c r="C11" s="101"/>
      <c r="D11" s="16" t="s">
        <v>150</v>
      </c>
      <c r="E11" s="16" t="s">
        <v>152</v>
      </c>
      <c r="F11" s="16" t="s">
        <v>151</v>
      </c>
      <c r="G11" s="62" t="s">
        <v>175</v>
      </c>
      <c r="H11" s="62"/>
      <c r="I11" s="62" t="s">
        <v>39</v>
      </c>
      <c r="J11" s="62"/>
    </row>
    <row r="12" spans="1:10" ht="15" customHeight="1" x14ac:dyDescent="0.2">
      <c r="A12" s="92" t="s">
        <v>179</v>
      </c>
      <c r="B12" s="93"/>
      <c r="C12" s="94"/>
      <c r="D12" s="117">
        <v>1500</v>
      </c>
      <c r="E12" s="117">
        <v>1500</v>
      </c>
      <c r="F12" s="117">
        <v>500</v>
      </c>
      <c r="G12" s="111">
        <f>MROUND(27690*$I$4,5)</f>
        <v>40105</v>
      </c>
      <c r="H12" s="111"/>
      <c r="I12" s="116">
        <f>ROUND(G12*$J$4,0)</f>
        <v>40105</v>
      </c>
      <c r="J12" s="116"/>
    </row>
    <row r="13" spans="1:10" ht="15" customHeight="1" x14ac:dyDescent="0.2">
      <c r="A13" s="113" t="s">
        <v>180</v>
      </c>
      <c r="B13" s="114"/>
      <c r="C13" s="115"/>
      <c r="D13" s="118"/>
      <c r="E13" s="118"/>
      <c r="F13" s="118"/>
      <c r="G13" s="111">
        <f>MROUND(31090*$I$4,5)</f>
        <v>45030</v>
      </c>
      <c r="H13" s="111"/>
      <c r="I13" s="116">
        <f>ROUND(G13*$J$4,0)</f>
        <v>45030</v>
      </c>
      <c r="J13" s="116"/>
    </row>
    <row r="14" spans="1:10" ht="15" customHeight="1" x14ac:dyDescent="0.2">
      <c r="A14" s="92" t="s">
        <v>181</v>
      </c>
      <c r="B14" s="93"/>
      <c r="C14" s="94"/>
      <c r="D14" s="118"/>
      <c r="E14" s="118"/>
      <c r="F14" s="118"/>
      <c r="G14" s="111">
        <f>MROUND(52490*$I$4,5)</f>
        <v>76030</v>
      </c>
      <c r="H14" s="111"/>
      <c r="I14" s="116">
        <f>ROUND(G14*$J$4,0)</f>
        <v>76030</v>
      </c>
      <c r="J14" s="116"/>
    </row>
    <row r="15" spans="1:10" ht="15" customHeight="1" x14ac:dyDescent="0.2">
      <c r="A15" s="92" t="s">
        <v>182</v>
      </c>
      <c r="B15" s="93"/>
      <c r="C15" s="94"/>
      <c r="D15" s="119"/>
      <c r="E15" s="119"/>
      <c r="F15" s="119"/>
      <c r="G15" s="111">
        <f>MROUND(59990*$I$4,5)</f>
        <v>86890</v>
      </c>
      <c r="H15" s="111"/>
      <c r="I15" s="116">
        <f>ROUND(G15*$J$4,0)</f>
        <v>86890</v>
      </c>
      <c r="J15" s="116"/>
    </row>
    <row r="16" spans="1:10" ht="1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</row>
    <row r="17" spans="1:10" ht="15" customHeight="1" x14ac:dyDescent="0.25">
      <c r="A17" s="59" t="s">
        <v>186</v>
      </c>
      <c r="B17" s="59"/>
      <c r="C17" s="59"/>
      <c r="D17" s="59"/>
      <c r="E17" s="59"/>
      <c r="F17" s="59"/>
      <c r="G17" s="59"/>
      <c r="H17" s="59"/>
      <c r="I17" s="67" t="s">
        <v>176</v>
      </c>
      <c r="J17" s="67"/>
    </row>
    <row r="18" spans="1:10" ht="15" customHeight="1" x14ac:dyDescent="0.2">
      <c r="A18" s="95" t="s">
        <v>183</v>
      </c>
      <c r="B18" s="55"/>
      <c r="C18" s="55"/>
      <c r="D18" s="55"/>
      <c r="E18" s="55"/>
      <c r="F18" s="55"/>
      <c r="G18" s="55"/>
      <c r="H18" s="55"/>
      <c r="I18" s="55"/>
      <c r="J18" s="55"/>
    </row>
    <row r="19" spans="1:10" ht="15" customHeight="1" x14ac:dyDescent="0.25">
      <c r="A19" s="99" t="s">
        <v>184</v>
      </c>
      <c r="B19" s="100"/>
      <c r="C19" s="101"/>
      <c r="D19" s="16" t="s">
        <v>150</v>
      </c>
      <c r="E19" s="16" t="s">
        <v>152</v>
      </c>
      <c r="F19" s="16" t="s">
        <v>151</v>
      </c>
      <c r="G19" s="62" t="s">
        <v>175</v>
      </c>
      <c r="H19" s="62"/>
      <c r="I19" s="62" t="s">
        <v>39</v>
      </c>
      <c r="J19" s="62"/>
    </row>
    <row r="20" spans="1:10" ht="15" customHeight="1" x14ac:dyDescent="0.2">
      <c r="A20" s="92" t="s">
        <v>179</v>
      </c>
      <c r="B20" s="93"/>
      <c r="C20" s="94"/>
      <c r="D20" s="117">
        <v>1200</v>
      </c>
      <c r="E20" s="117">
        <v>1200</v>
      </c>
      <c r="F20" s="117">
        <v>250</v>
      </c>
      <c r="G20" s="111">
        <f>MROUND(24290*$I$4,5)</f>
        <v>35180</v>
      </c>
      <c r="H20" s="111"/>
      <c r="I20" s="116">
        <f>ROUND(G20*$J$4,0)</f>
        <v>35180</v>
      </c>
      <c r="J20" s="116"/>
    </row>
    <row r="21" spans="1:10" ht="15" customHeight="1" x14ac:dyDescent="0.2">
      <c r="A21" s="113" t="s">
        <v>180</v>
      </c>
      <c r="B21" s="114"/>
      <c r="C21" s="115"/>
      <c r="D21" s="118"/>
      <c r="E21" s="118"/>
      <c r="F21" s="118"/>
      <c r="G21" s="111">
        <f>MROUND(27290*$I$4,5)</f>
        <v>39530</v>
      </c>
      <c r="H21" s="111"/>
      <c r="I21" s="116">
        <f>ROUND(G21*$J$4,0)</f>
        <v>39530</v>
      </c>
      <c r="J21" s="116"/>
    </row>
    <row r="22" spans="1:10" ht="15" customHeight="1" x14ac:dyDescent="0.2">
      <c r="A22" s="92" t="s">
        <v>181</v>
      </c>
      <c r="B22" s="93"/>
      <c r="C22" s="94"/>
      <c r="D22" s="118"/>
      <c r="E22" s="118"/>
      <c r="F22" s="118"/>
      <c r="G22" s="111">
        <f>MROUND(44390*$I$4,5)</f>
        <v>64295</v>
      </c>
      <c r="H22" s="111"/>
      <c r="I22" s="116">
        <f>ROUND(G22*$J$4,0)</f>
        <v>64295</v>
      </c>
      <c r="J22" s="116"/>
    </row>
    <row r="23" spans="1:10" ht="15" customHeight="1" x14ac:dyDescent="0.2">
      <c r="A23" s="92" t="s">
        <v>182</v>
      </c>
      <c r="B23" s="93"/>
      <c r="C23" s="94"/>
      <c r="D23" s="119"/>
      <c r="E23" s="119"/>
      <c r="F23" s="119"/>
      <c r="G23" s="111">
        <f>MROUND(49990*$I$4,5)</f>
        <v>72405</v>
      </c>
      <c r="H23" s="111"/>
      <c r="I23" s="116">
        <f>ROUND(G23*$J$4,0)</f>
        <v>72405</v>
      </c>
      <c r="J23" s="116"/>
    </row>
    <row r="24" spans="1:10" ht="1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ht="15" customHeight="1" x14ac:dyDescent="0.2">
      <c r="A25" s="112" t="s">
        <v>188</v>
      </c>
      <c r="B25" s="112"/>
      <c r="C25" s="112"/>
      <c r="D25" s="18"/>
      <c r="E25" s="18"/>
      <c r="F25" s="18"/>
      <c r="G25" s="18"/>
      <c r="H25" s="18"/>
      <c r="I25" s="18"/>
      <c r="J25" s="18"/>
    </row>
    <row r="26" spans="1:10" ht="15" customHeight="1" x14ac:dyDescent="0.2">
      <c r="A26" s="92" t="s">
        <v>179</v>
      </c>
      <c r="B26" s="93"/>
      <c r="C26" s="94"/>
      <c r="D26" s="110" t="s">
        <v>189</v>
      </c>
      <c r="E26" s="110"/>
      <c r="F26" s="110"/>
      <c r="G26" s="110"/>
      <c r="H26" s="110"/>
      <c r="I26" s="110"/>
      <c r="J26" s="110"/>
    </row>
    <row r="27" spans="1:10" ht="15" customHeight="1" x14ac:dyDescent="0.2">
      <c r="A27" s="113" t="s">
        <v>180</v>
      </c>
      <c r="B27" s="114"/>
      <c r="C27" s="115"/>
      <c r="D27" s="110" t="s">
        <v>190</v>
      </c>
      <c r="E27" s="110"/>
      <c r="F27" s="110"/>
      <c r="G27" s="110"/>
      <c r="H27" s="110"/>
      <c r="I27" s="110"/>
      <c r="J27" s="110"/>
    </row>
    <row r="28" spans="1:10" ht="15" customHeight="1" x14ac:dyDescent="0.2">
      <c r="A28" s="92" t="s">
        <v>181</v>
      </c>
      <c r="B28" s="93"/>
      <c r="C28" s="94"/>
      <c r="D28" s="110" t="s">
        <v>191</v>
      </c>
      <c r="E28" s="110"/>
      <c r="F28" s="110"/>
      <c r="G28" s="110"/>
      <c r="H28" s="110"/>
      <c r="I28" s="110"/>
      <c r="J28" s="110"/>
    </row>
    <row r="29" spans="1:10" ht="15" customHeight="1" x14ac:dyDescent="0.2">
      <c r="A29" s="92" t="s">
        <v>182</v>
      </c>
      <c r="B29" s="93"/>
      <c r="C29" s="94"/>
      <c r="D29" s="110" t="s">
        <v>192</v>
      </c>
      <c r="E29" s="110"/>
      <c r="F29" s="110"/>
      <c r="G29" s="110"/>
      <c r="H29" s="110"/>
      <c r="I29" s="110"/>
      <c r="J29" s="110"/>
    </row>
    <row r="30" spans="1:10" ht="1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</row>
    <row r="31" spans="1:10" ht="15" customHeight="1" x14ac:dyDescent="0.2">
      <c r="A31" s="3" t="s">
        <v>31</v>
      </c>
      <c r="B31" s="18"/>
      <c r="C31" s="18"/>
      <c r="D31" s="18"/>
      <c r="E31" s="18"/>
      <c r="F31" s="18"/>
      <c r="G31" s="18"/>
      <c r="H31" s="18"/>
      <c r="I31" s="18"/>
      <c r="J31" s="18"/>
    </row>
    <row r="32" spans="1:10" ht="15" customHeight="1" x14ac:dyDescent="0.2">
      <c r="A32" s="3" t="s">
        <v>32</v>
      </c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15" customHeight="1" x14ac:dyDescent="0.2">
      <c r="A33" s="3" t="s">
        <v>187</v>
      </c>
      <c r="B33" s="18"/>
      <c r="C33" s="18"/>
      <c r="D33" s="18"/>
      <c r="E33" s="18"/>
      <c r="F33" s="18"/>
      <c r="G33" s="18"/>
      <c r="H33" s="18"/>
      <c r="I33" s="18"/>
      <c r="J33" s="18"/>
    </row>
    <row r="34" spans="1:10" ht="15" customHeight="1" x14ac:dyDescent="0.2">
      <c r="A34" s="3" t="s">
        <v>168</v>
      </c>
      <c r="B34" s="18"/>
      <c r="C34" s="18"/>
      <c r="D34" s="18"/>
      <c r="E34" s="18"/>
      <c r="F34" s="18"/>
      <c r="G34" s="18"/>
      <c r="H34" s="18"/>
      <c r="I34" s="18"/>
      <c r="J34" s="18"/>
    </row>
    <row r="35" spans="1:10" ht="15" customHeight="1" x14ac:dyDescent="0.2">
      <c r="A35" s="3" t="s">
        <v>35</v>
      </c>
      <c r="B35" s="18"/>
      <c r="C35" s="18"/>
      <c r="D35" s="18"/>
      <c r="E35" s="18"/>
      <c r="F35" s="18"/>
      <c r="G35" s="18"/>
      <c r="H35" s="18"/>
      <c r="I35" s="18"/>
      <c r="J35" s="18"/>
    </row>
    <row r="36" spans="1:10" ht="15" customHeight="1" x14ac:dyDescent="0.2">
      <c r="A36" s="4" t="s">
        <v>33</v>
      </c>
      <c r="B36" s="18"/>
      <c r="C36" s="18"/>
      <c r="D36" s="18"/>
      <c r="E36" s="18"/>
      <c r="F36" s="18"/>
      <c r="G36" s="18"/>
      <c r="H36" s="18"/>
      <c r="I36" s="18"/>
      <c r="J36" s="18"/>
    </row>
    <row r="37" spans="1:10" ht="1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ht="1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 ht="1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ht="15" customHeight="1" x14ac:dyDescent="0.2">
      <c r="A40" s="18"/>
      <c r="B40" s="18"/>
      <c r="C40" s="18"/>
      <c r="D40" s="18"/>
      <c r="E40" s="18"/>
      <c r="F40" s="18"/>
      <c r="G40" s="6"/>
      <c r="H40" s="6"/>
      <c r="I40" s="7"/>
      <c r="J40" s="7"/>
    </row>
    <row r="41" spans="1:10" ht="15" customHeight="1" x14ac:dyDescent="0.2">
      <c r="A41" s="18"/>
      <c r="B41" s="18"/>
      <c r="C41" s="18"/>
      <c r="D41" s="18"/>
      <c r="E41" s="18"/>
      <c r="F41" s="18"/>
      <c r="G41" s="6"/>
      <c r="H41" s="6"/>
      <c r="I41" s="7"/>
      <c r="J41" s="7"/>
    </row>
    <row r="42" spans="1:10" ht="15" customHeight="1" x14ac:dyDescent="0.2">
      <c r="A42" s="18"/>
      <c r="B42" s="18"/>
      <c r="C42" s="18"/>
      <c r="D42" s="18"/>
      <c r="E42" s="18"/>
      <c r="F42" s="18"/>
      <c r="G42" s="6"/>
      <c r="H42" s="6"/>
      <c r="I42" s="7"/>
      <c r="J42" s="7"/>
    </row>
    <row r="43" spans="1:10" ht="1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1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ht="15" customHeight="1" x14ac:dyDescent="0.2">
      <c r="B45" s="3"/>
      <c r="C45" s="3"/>
      <c r="D45" s="3"/>
      <c r="E45" s="3"/>
      <c r="F45" s="3"/>
      <c r="G45" s="3"/>
      <c r="H45" s="3"/>
      <c r="I45" s="3"/>
      <c r="J45" s="3"/>
    </row>
    <row r="46" spans="1:10" ht="15" customHeight="1" x14ac:dyDescent="0.2">
      <c r="B46" s="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">
      <c r="B47" s="3"/>
      <c r="C47" s="3"/>
      <c r="D47" s="3"/>
      <c r="E47" s="3"/>
      <c r="F47" s="3"/>
      <c r="G47" s="3"/>
      <c r="H47" s="3"/>
      <c r="I47" s="3"/>
      <c r="J47" s="3"/>
    </row>
    <row r="48" spans="1:10" ht="15" customHeight="1" x14ac:dyDescent="0.2">
      <c r="B48" s="3"/>
      <c r="C48" s="3"/>
      <c r="D48" s="3"/>
      <c r="E48" s="3"/>
      <c r="F48" s="3"/>
      <c r="G48" s="3"/>
      <c r="H48" s="3"/>
      <c r="I48" s="3"/>
      <c r="J48" s="3"/>
    </row>
    <row r="49" spans="2:10" ht="15" customHeight="1" x14ac:dyDescent="0.2">
      <c r="B49" s="3"/>
      <c r="C49" s="3"/>
      <c r="D49" s="3"/>
      <c r="E49" s="3"/>
      <c r="F49" s="3"/>
      <c r="G49" s="3"/>
      <c r="H49" s="3"/>
      <c r="I49" s="3"/>
      <c r="J49" s="3"/>
    </row>
    <row r="50" spans="2:10" ht="15" customHeight="1" x14ac:dyDescent="0.2">
      <c r="B50" s="3"/>
      <c r="C50" s="3"/>
      <c r="D50" s="3"/>
      <c r="E50" s="3"/>
      <c r="F50" s="3"/>
      <c r="G50" s="3"/>
      <c r="H50" s="3"/>
      <c r="I50" s="3"/>
      <c r="J50" s="3"/>
    </row>
    <row r="51" spans="2:10" ht="15" customHeight="1" x14ac:dyDescent="0.2"/>
    <row r="56" spans="2:10" ht="15" customHeight="1" x14ac:dyDescent="0.2"/>
    <row r="57" spans="2:10" ht="15" customHeight="1" x14ac:dyDescent="0.2"/>
    <row r="58" spans="2:10" ht="15" customHeight="1" x14ac:dyDescent="0.2"/>
    <row r="59" spans="2:10" ht="15" customHeight="1" x14ac:dyDescent="0.2"/>
    <row r="60" spans="2:10" ht="15" customHeight="1" x14ac:dyDescent="0.2"/>
    <row r="61" spans="2:10" ht="15" customHeight="1" x14ac:dyDescent="0.2"/>
    <row r="62" spans="2:10" ht="15" customHeight="1" x14ac:dyDescent="0.2"/>
    <row r="63" spans="2:10" ht="15" customHeight="1" x14ac:dyDescent="0.2"/>
    <row r="64" spans="2:10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</sheetData>
  <sheetProtection algorithmName="SHA-512" hashValue="uGv+4y+Qvt0qADdd0EIdr1FiAIldPeQyW583rHyDzpc6uS1atVdMG5cjSTkJPzzldXvffu2TB6jT8NipAaOc/A==" saltValue="1zhGupfvX8f15A5wfyPylw==" spinCount="100000" sheet="1" objects="1" scenarios="1"/>
  <mergeCells count="54">
    <mergeCell ref="A10:J10"/>
    <mergeCell ref="I1:J1"/>
    <mergeCell ref="A6:H7"/>
    <mergeCell ref="I2:J3"/>
    <mergeCell ref="A9:H9"/>
    <mergeCell ref="I9:J9"/>
    <mergeCell ref="A11:C11"/>
    <mergeCell ref="G11:H11"/>
    <mergeCell ref="I11:J11"/>
    <mergeCell ref="A12:C12"/>
    <mergeCell ref="A13:C13"/>
    <mergeCell ref="A17:H17"/>
    <mergeCell ref="I17:J17"/>
    <mergeCell ref="A18:J18"/>
    <mergeCell ref="D20:D23"/>
    <mergeCell ref="E20:E23"/>
    <mergeCell ref="F20:F23"/>
    <mergeCell ref="G20:H20"/>
    <mergeCell ref="I20:J20"/>
    <mergeCell ref="G21:H21"/>
    <mergeCell ref="I21:J21"/>
    <mergeCell ref="A22:C22"/>
    <mergeCell ref="A23:C23"/>
    <mergeCell ref="G23:H23"/>
    <mergeCell ref="I23:J23"/>
    <mergeCell ref="A19:C19"/>
    <mergeCell ref="G19:H19"/>
    <mergeCell ref="A14:C14"/>
    <mergeCell ref="G12:H12"/>
    <mergeCell ref="I12:J12"/>
    <mergeCell ref="G13:H13"/>
    <mergeCell ref="I13:J13"/>
    <mergeCell ref="G14:H14"/>
    <mergeCell ref="I14:J14"/>
    <mergeCell ref="D12:D15"/>
    <mergeCell ref="E12:E15"/>
    <mergeCell ref="F12:F15"/>
    <mergeCell ref="A15:C15"/>
    <mergeCell ref="G15:H15"/>
    <mergeCell ref="I15:J15"/>
    <mergeCell ref="I19:J19"/>
    <mergeCell ref="I22:J22"/>
    <mergeCell ref="A20:C20"/>
    <mergeCell ref="A21:C21"/>
    <mergeCell ref="D26:J26"/>
    <mergeCell ref="D27:J27"/>
    <mergeCell ref="D28:J28"/>
    <mergeCell ref="D29:J29"/>
    <mergeCell ref="G22:H22"/>
    <mergeCell ref="A25:C25"/>
    <mergeCell ref="A26:C26"/>
    <mergeCell ref="A27:C27"/>
    <mergeCell ref="A28:C28"/>
    <mergeCell ref="A29:C29"/>
  </mergeCells>
  <printOptions horizontalCentered="1"/>
  <pageMargins left="0.59055118110236227" right="0.59055118110236227" top="0.78740157480314965" bottom="0.78740157480314965" header="0.39370078740157483" footer="0.39370078740157483"/>
  <pageSetup paperSize="9" scale="93" orientation="portrait" r:id="rId1"/>
  <headerFooter>
    <oddFooter xml:space="preserve">&amp;L&amp;"Arial,Obyčejné"&amp;10   ITS097-01, © Greif-akustika, s.r.o.&amp;R&amp;"Arial,Obyčejné"&amp;10List &amp;P/&amp;N    </oddFooter>
  </headerFooter>
  <rowBreaks count="2" manualBreakCount="2">
    <brk id="50" max="9" man="1"/>
    <brk id="100" max="9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2AE0F-4992-420A-B470-A4A2A6B8FF35}">
  <sheetPr codeName="List12">
    <tabColor theme="5" tint="0.59999389629810485"/>
  </sheetPr>
  <dimension ref="A1:J51"/>
  <sheetViews>
    <sheetView showGridLines="0" view="pageBreakPreview" zoomScale="120" zoomScaleNormal="120" zoomScaleSheetLayoutView="120" workbookViewId="0">
      <selection activeCell="I2" sqref="I2:J3"/>
    </sheetView>
  </sheetViews>
  <sheetFormatPr defaultColWidth="9" defaultRowHeight="14.25" x14ac:dyDescent="0.2"/>
  <cols>
    <col min="1" max="25" width="8.625" style="1" customWidth="1"/>
    <col min="26" max="16384" width="9" style="1"/>
  </cols>
  <sheetData>
    <row r="1" spans="1:10" ht="15" customHeight="1" thickBot="1" x14ac:dyDescent="0.25">
      <c r="I1" s="49" t="s">
        <v>2</v>
      </c>
      <c r="J1" s="49"/>
    </row>
    <row r="2" spans="1:10" ht="15" customHeight="1" x14ac:dyDescent="0.2">
      <c r="I2" s="63">
        <f>'Buňky G-GE-GH'!I2:J3</f>
        <v>0</v>
      </c>
      <c r="J2" s="64"/>
    </row>
    <row r="3" spans="1:10" ht="15" customHeight="1" thickBot="1" x14ac:dyDescent="0.25">
      <c r="I3" s="65"/>
      <c r="J3" s="66"/>
    </row>
    <row r="4" spans="1:10" ht="15" customHeight="1" x14ac:dyDescent="0.2">
      <c r="I4" s="23">
        <f>1*1*1*1.03*1.12*1.15*1.06</f>
        <v>1.4062384000000001</v>
      </c>
      <c r="J4" s="23">
        <f>1-I2</f>
        <v>1</v>
      </c>
    </row>
    <row r="5" spans="1:10" ht="15" customHeight="1" x14ac:dyDescent="0.2"/>
    <row r="6" spans="1:10" ht="15" customHeight="1" x14ac:dyDescent="0.2">
      <c r="A6" s="50" t="s">
        <v>221</v>
      </c>
      <c r="B6" s="50"/>
      <c r="C6" s="50"/>
      <c r="D6" s="50"/>
      <c r="E6" s="50"/>
      <c r="F6" s="50"/>
      <c r="G6" s="50"/>
      <c r="H6" s="50"/>
    </row>
    <row r="7" spans="1:10" ht="15" customHeight="1" x14ac:dyDescent="0.2">
      <c r="A7" s="50"/>
      <c r="B7" s="50"/>
      <c r="C7" s="50"/>
      <c r="D7" s="50"/>
      <c r="E7" s="50"/>
      <c r="F7" s="50"/>
      <c r="G7" s="50"/>
      <c r="H7" s="50"/>
    </row>
    <row r="8" spans="1:10" ht="15" customHeight="1" x14ac:dyDescent="0.2"/>
    <row r="9" spans="1:10" ht="15" customHeight="1" x14ac:dyDescent="0.25">
      <c r="A9" s="59" t="s">
        <v>226</v>
      </c>
      <c r="B9" s="59"/>
      <c r="C9" s="59"/>
      <c r="D9" s="59"/>
      <c r="E9" s="59"/>
      <c r="F9" s="59"/>
      <c r="G9" s="59"/>
      <c r="H9" s="59"/>
      <c r="I9" s="60" t="s">
        <v>149</v>
      </c>
      <c r="J9" s="60"/>
    </row>
    <row r="10" spans="1:10" ht="15" customHeight="1" x14ac:dyDescent="0.2">
      <c r="A10" s="55" t="s">
        <v>48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0" ht="15" customHeight="1" x14ac:dyDescent="0.25">
      <c r="A11" s="61" t="s">
        <v>227</v>
      </c>
      <c r="B11" s="61"/>
      <c r="C11" s="61"/>
      <c r="D11" s="61"/>
      <c r="E11" s="61"/>
      <c r="F11" s="61"/>
      <c r="G11" s="62" t="s">
        <v>175</v>
      </c>
      <c r="H11" s="62"/>
      <c r="I11" s="62" t="s">
        <v>39</v>
      </c>
      <c r="J11" s="62"/>
    </row>
    <row r="12" spans="1:10" ht="15" customHeight="1" x14ac:dyDescent="0.2">
      <c r="A12" s="56" t="s">
        <v>224</v>
      </c>
      <c r="B12" s="56"/>
      <c r="C12" s="56"/>
      <c r="D12" s="56"/>
      <c r="E12" s="56"/>
      <c r="F12" s="56"/>
      <c r="G12" s="57">
        <f>MROUND(5690*$I$4,5)</f>
        <v>8000</v>
      </c>
      <c r="H12" s="57"/>
      <c r="I12" s="58">
        <f t="shared" ref="I12:I31" si="0">ROUND(G12*$J$4,0)</f>
        <v>8000</v>
      </c>
      <c r="J12" s="58"/>
    </row>
    <row r="13" spans="1:10" ht="15" customHeight="1" x14ac:dyDescent="0.2">
      <c r="A13" s="56" t="s">
        <v>225</v>
      </c>
      <c r="B13" s="56"/>
      <c r="C13" s="56"/>
      <c r="D13" s="56"/>
      <c r="E13" s="56"/>
      <c r="F13" s="56"/>
      <c r="G13" s="57">
        <f>MROUND(5900*$I$4,5)</f>
        <v>8295</v>
      </c>
      <c r="H13" s="57"/>
      <c r="I13" s="58">
        <f t="shared" si="0"/>
        <v>8295</v>
      </c>
      <c r="J13" s="58"/>
    </row>
    <row r="14" spans="1:10" ht="15" customHeight="1" x14ac:dyDescent="0.2">
      <c r="A14" s="56" t="s">
        <v>228</v>
      </c>
      <c r="B14" s="56"/>
      <c r="C14" s="56"/>
      <c r="D14" s="56"/>
      <c r="E14" s="56"/>
      <c r="F14" s="56"/>
      <c r="G14" s="57">
        <f>MROUND(6140*$I$4,5)</f>
        <v>8635</v>
      </c>
      <c r="H14" s="57"/>
      <c r="I14" s="58">
        <f t="shared" si="0"/>
        <v>8635</v>
      </c>
      <c r="J14" s="58"/>
    </row>
    <row r="15" spans="1:10" ht="15" customHeight="1" x14ac:dyDescent="0.2">
      <c r="A15" s="56" t="s">
        <v>229</v>
      </c>
      <c r="B15" s="56"/>
      <c r="C15" s="56"/>
      <c r="D15" s="56"/>
      <c r="E15" s="56"/>
      <c r="F15" s="56"/>
      <c r="G15" s="57">
        <f>MROUND(6680*$I$4,5)</f>
        <v>9395</v>
      </c>
      <c r="H15" s="57"/>
      <c r="I15" s="58">
        <f t="shared" si="0"/>
        <v>9395</v>
      </c>
      <c r="J15" s="58"/>
    </row>
    <row r="16" spans="1:10" ht="15" customHeight="1" x14ac:dyDescent="0.2">
      <c r="A16" s="56" t="s">
        <v>230</v>
      </c>
      <c r="B16" s="56"/>
      <c r="C16" s="56"/>
      <c r="D16" s="56"/>
      <c r="E16" s="56"/>
      <c r="F16" s="56"/>
      <c r="G16" s="57">
        <f>MROUND(7180*$I$4,5)</f>
        <v>10095</v>
      </c>
      <c r="H16" s="57"/>
      <c r="I16" s="58">
        <f t="shared" si="0"/>
        <v>10095</v>
      </c>
      <c r="J16" s="58"/>
    </row>
    <row r="17" spans="1:10" ht="15" customHeight="1" x14ac:dyDescent="0.2">
      <c r="A17" s="56" t="s">
        <v>231</v>
      </c>
      <c r="B17" s="56"/>
      <c r="C17" s="56"/>
      <c r="D17" s="56"/>
      <c r="E17" s="56"/>
      <c r="F17" s="56"/>
      <c r="G17" s="57">
        <f>MROUND(8285*$I$4,5)</f>
        <v>11650</v>
      </c>
      <c r="H17" s="57"/>
      <c r="I17" s="58">
        <f t="shared" si="0"/>
        <v>11650</v>
      </c>
      <c r="J17" s="58"/>
    </row>
    <row r="18" spans="1:10" ht="15" customHeight="1" x14ac:dyDescent="0.2">
      <c r="A18" s="56" t="s">
        <v>232</v>
      </c>
      <c r="B18" s="56"/>
      <c r="C18" s="56"/>
      <c r="D18" s="56"/>
      <c r="E18" s="56"/>
      <c r="F18" s="56"/>
      <c r="G18" s="57">
        <f>MROUND(8490*$I$4,5)</f>
        <v>11940</v>
      </c>
      <c r="H18" s="57"/>
      <c r="I18" s="58">
        <f t="shared" si="0"/>
        <v>11940</v>
      </c>
      <c r="J18" s="58"/>
    </row>
    <row r="19" spans="1:10" ht="15" customHeight="1" x14ac:dyDescent="0.2">
      <c r="A19" s="56" t="s">
        <v>233</v>
      </c>
      <c r="B19" s="56"/>
      <c r="C19" s="56"/>
      <c r="D19" s="56"/>
      <c r="E19" s="56"/>
      <c r="F19" s="56"/>
      <c r="G19" s="57">
        <f>MROUND(8750*$I$4,5)</f>
        <v>12305</v>
      </c>
      <c r="H19" s="57"/>
      <c r="I19" s="58">
        <f t="shared" si="0"/>
        <v>12305</v>
      </c>
      <c r="J19" s="58"/>
    </row>
    <row r="20" spans="1:10" ht="15" customHeight="1" x14ac:dyDescent="0.2">
      <c r="A20" s="56" t="s">
        <v>234</v>
      </c>
      <c r="B20" s="56"/>
      <c r="C20" s="56"/>
      <c r="D20" s="56"/>
      <c r="E20" s="56"/>
      <c r="F20" s="56"/>
      <c r="G20" s="57">
        <f>MROUND(9360*$I$4,5)</f>
        <v>13160</v>
      </c>
      <c r="H20" s="57"/>
      <c r="I20" s="58">
        <f t="shared" si="0"/>
        <v>13160</v>
      </c>
      <c r="J20" s="58"/>
    </row>
    <row r="21" spans="1:10" ht="15" customHeight="1" x14ac:dyDescent="0.2">
      <c r="A21" s="56" t="s">
        <v>235</v>
      </c>
      <c r="B21" s="56"/>
      <c r="C21" s="56"/>
      <c r="D21" s="56"/>
      <c r="E21" s="56"/>
      <c r="F21" s="56"/>
      <c r="G21" s="57">
        <f>MROUND(9930*$I$4,5)</f>
        <v>13965</v>
      </c>
      <c r="H21" s="57"/>
      <c r="I21" s="58">
        <f t="shared" si="0"/>
        <v>13965</v>
      </c>
      <c r="J21" s="58"/>
    </row>
    <row r="22" spans="1:10" ht="15" customHeight="1" x14ac:dyDescent="0.2">
      <c r="A22" s="56" t="s">
        <v>236</v>
      </c>
      <c r="B22" s="56"/>
      <c r="C22" s="56"/>
      <c r="D22" s="56"/>
      <c r="E22" s="56"/>
      <c r="F22" s="56"/>
      <c r="G22" s="57">
        <f>MROUND(8125*$I$4,5)</f>
        <v>11425</v>
      </c>
      <c r="H22" s="57"/>
      <c r="I22" s="58">
        <f t="shared" si="0"/>
        <v>11425</v>
      </c>
      <c r="J22" s="58"/>
    </row>
    <row r="23" spans="1:10" ht="15" customHeight="1" x14ac:dyDescent="0.2">
      <c r="A23" s="56" t="s">
        <v>237</v>
      </c>
      <c r="B23" s="56"/>
      <c r="C23" s="56"/>
      <c r="D23" s="56"/>
      <c r="E23" s="56"/>
      <c r="F23" s="56"/>
      <c r="G23" s="57">
        <f>MROUND(8425*$I$4,5)</f>
        <v>11850</v>
      </c>
      <c r="H23" s="57"/>
      <c r="I23" s="58">
        <f t="shared" si="0"/>
        <v>11850</v>
      </c>
      <c r="J23" s="58"/>
    </row>
    <row r="24" spans="1:10" ht="15" customHeight="1" x14ac:dyDescent="0.2">
      <c r="A24" s="56" t="s">
        <v>238</v>
      </c>
      <c r="B24" s="56"/>
      <c r="C24" s="56"/>
      <c r="D24" s="56"/>
      <c r="E24" s="56"/>
      <c r="F24" s="56"/>
      <c r="G24" s="57">
        <f>MROUND(8765*$I$4,5)</f>
        <v>12325</v>
      </c>
      <c r="H24" s="57"/>
      <c r="I24" s="58">
        <f t="shared" si="0"/>
        <v>12325</v>
      </c>
      <c r="J24" s="58"/>
    </row>
    <row r="25" spans="1:10" ht="15" customHeight="1" x14ac:dyDescent="0.2">
      <c r="A25" s="56" t="s">
        <v>239</v>
      </c>
      <c r="B25" s="56"/>
      <c r="C25" s="56"/>
      <c r="D25" s="56"/>
      <c r="E25" s="56"/>
      <c r="F25" s="56"/>
      <c r="G25" s="57">
        <f>MROUND(9545*$I$4,5)</f>
        <v>13425</v>
      </c>
      <c r="H25" s="57"/>
      <c r="I25" s="58">
        <f t="shared" si="0"/>
        <v>13425</v>
      </c>
      <c r="J25" s="58"/>
    </row>
    <row r="26" spans="1:10" ht="15" customHeight="1" x14ac:dyDescent="0.2">
      <c r="A26" s="56" t="s">
        <v>240</v>
      </c>
      <c r="B26" s="56"/>
      <c r="C26" s="56"/>
      <c r="D26" s="56"/>
      <c r="E26" s="56"/>
      <c r="F26" s="56"/>
      <c r="G26" s="57">
        <f>MROUND(10255*$I$4,5)</f>
        <v>14420</v>
      </c>
      <c r="H26" s="57"/>
      <c r="I26" s="58">
        <f t="shared" si="0"/>
        <v>14420</v>
      </c>
      <c r="J26" s="58"/>
    </row>
    <row r="27" spans="1:10" ht="15" customHeight="1" x14ac:dyDescent="0.2">
      <c r="A27" s="56" t="s">
        <v>241</v>
      </c>
      <c r="B27" s="56"/>
      <c r="C27" s="56"/>
      <c r="D27" s="56"/>
      <c r="E27" s="56"/>
      <c r="F27" s="56"/>
      <c r="G27" s="57">
        <f>MROUND(11815*$I$4,5)</f>
        <v>16615</v>
      </c>
      <c r="H27" s="57"/>
      <c r="I27" s="58">
        <f t="shared" si="0"/>
        <v>16615</v>
      </c>
      <c r="J27" s="58"/>
    </row>
    <row r="28" spans="1:10" ht="15" customHeight="1" x14ac:dyDescent="0.2">
      <c r="A28" s="56" t="s">
        <v>242</v>
      </c>
      <c r="B28" s="56"/>
      <c r="C28" s="56"/>
      <c r="D28" s="56"/>
      <c r="E28" s="56"/>
      <c r="F28" s="56"/>
      <c r="G28" s="57">
        <f>MROUND(12100*$I$4,5)</f>
        <v>17015</v>
      </c>
      <c r="H28" s="57"/>
      <c r="I28" s="58">
        <f t="shared" si="0"/>
        <v>17015</v>
      </c>
      <c r="J28" s="58"/>
    </row>
    <row r="29" spans="1:10" ht="15" customHeight="1" x14ac:dyDescent="0.2">
      <c r="A29" s="56" t="s">
        <v>243</v>
      </c>
      <c r="B29" s="56"/>
      <c r="C29" s="56"/>
      <c r="D29" s="56"/>
      <c r="E29" s="56"/>
      <c r="F29" s="56"/>
      <c r="G29" s="57">
        <f>MROUND(12460*$I$4,5)</f>
        <v>17520</v>
      </c>
      <c r="H29" s="57"/>
      <c r="I29" s="58">
        <f t="shared" si="0"/>
        <v>17520</v>
      </c>
      <c r="J29" s="58"/>
    </row>
    <row r="30" spans="1:10" ht="15" customHeight="1" x14ac:dyDescent="0.2">
      <c r="A30" s="56" t="s">
        <v>244</v>
      </c>
      <c r="B30" s="56"/>
      <c r="C30" s="56"/>
      <c r="D30" s="56"/>
      <c r="E30" s="56"/>
      <c r="F30" s="56"/>
      <c r="G30" s="57">
        <f>MROUND(13330*$I$4,5)</f>
        <v>18745</v>
      </c>
      <c r="H30" s="57"/>
      <c r="I30" s="58">
        <f t="shared" si="0"/>
        <v>18745</v>
      </c>
      <c r="J30" s="58"/>
    </row>
    <row r="31" spans="1:10" ht="15" customHeight="1" x14ac:dyDescent="0.2">
      <c r="A31" s="56" t="s">
        <v>245</v>
      </c>
      <c r="B31" s="56"/>
      <c r="C31" s="56"/>
      <c r="D31" s="56"/>
      <c r="E31" s="56"/>
      <c r="F31" s="56"/>
      <c r="G31" s="57">
        <f>MROUND(14125*$I$4,5)</f>
        <v>19865</v>
      </c>
      <c r="H31" s="57"/>
      <c r="I31" s="58">
        <f t="shared" si="0"/>
        <v>19865</v>
      </c>
      <c r="J31" s="58"/>
    </row>
    <row r="32" spans="1:10" ht="15" customHeight="1" x14ac:dyDescent="0.2"/>
    <row r="33" spans="1:10" ht="15" customHeight="1" x14ac:dyDescent="0.25">
      <c r="A33" s="59" t="s">
        <v>249</v>
      </c>
      <c r="B33" s="59"/>
      <c r="C33" s="59"/>
      <c r="D33" s="59"/>
      <c r="E33" s="59"/>
      <c r="F33" s="59"/>
      <c r="G33" s="59"/>
      <c r="H33" s="59"/>
      <c r="I33" s="8">
        <v>25</v>
      </c>
      <c r="J33" s="8">
        <v>100</v>
      </c>
    </row>
    <row r="34" spans="1:10" ht="15" customHeight="1" x14ac:dyDescent="0.2">
      <c r="A34" s="55" t="s">
        <v>250</v>
      </c>
      <c r="B34" s="55"/>
      <c r="C34" s="55"/>
      <c r="D34" s="55"/>
      <c r="E34" s="55"/>
      <c r="F34" s="55"/>
      <c r="G34" s="55"/>
      <c r="H34" s="55"/>
      <c r="I34" s="55"/>
      <c r="J34" s="55"/>
    </row>
    <row r="35" spans="1:10" ht="15" customHeight="1" x14ac:dyDescent="0.2">
      <c r="A35" s="120" t="s">
        <v>246</v>
      </c>
      <c r="B35" s="120"/>
      <c r="C35" s="120"/>
      <c r="D35" s="120"/>
      <c r="E35" s="120"/>
      <c r="F35" s="9">
        <v>200</v>
      </c>
      <c r="G35" s="9">
        <v>250</v>
      </c>
      <c r="H35" s="9">
        <v>300</v>
      </c>
      <c r="I35" s="9">
        <v>400</v>
      </c>
      <c r="J35" s="9">
        <v>500</v>
      </c>
    </row>
    <row r="36" spans="1:10" ht="15" customHeight="1" x14ac:dyDescent="0.2">
      <c r="A36" s="56" t="s">
        <v>247</v>
      </c>
      <c r="B36" s="56"/>
      <c r="C36" s="56"/>
      <c r="D36" s="56"/>
      <c r="E36" s="56"/>
      <c r="F36" s="10">
        <f>MROUND(460*$I$4*$J$4,5)</f>
        <v>645</v>
      </c>
      <c r="G36" s="10">
        <f>MROUND(480*$I$4*$J$4,5)</f>
        <v>675</v>
      </c>
      <c r="H36" s="10">
        <f>MROUND(500*$I$4*$J$4,5)</f>
        <v>705</v>
      </c>
      <c r="I36" s="10">
        <f>MROUND(540*$I$4*$J$4,5)</f>
        <v>760</v>
      </c>
      <c r="J36" s="10">
        <f>MROUND(580*$I$4*$J$4,5)</f>
        <v>815</v>
      </c>
    </row>
    <row r="37" spans="1:10" ht="15" customHeight="1" x14ac:dyDescent="0.2">
      <c r="A37" s="56" t="s">
        <v>248</v>
      </c>
      <c r="B37" s="56"/>
      <c r="C37" s="56"/>
      <c r="D37" s="56"/>
      <c r="E37" s="56"/>
      <c r="F37" s="10">
        <f>F36*2</f>
        <v>1290</v>
      </c>
      <c r="G37" s="10">
        <f t="shared" ref="G37:J37" si="1">G36*2</f>
        <v>1350</v>
      </c>
      <c r="H37" s="10">
        <f t="shared" si="1"/>
        <v>1410</v>
      </c>
      <c r="I37" s="10">
        <f t="shared" si="1"/>
        <v>1520</v>
      </c>
      <c r="J37" s="10">
        <f t="shared" si="1"/>
        <v>1630</v>
      </c>
    </row>
    <row r="38" spans="1:10" ht="15" customHeight="1" x14ac:dyDescent="0.2"/>
    <row r="39" spans="1:10" ht="15" customHeight="1" x14ac:dyDescent="0.25">
      <c r="A39" s="59" t="s">
        <v>251</v>
      </c>
      <c r="B39" s="59"/>
      <c r="C39" s="59"/>
      <c r="D39" s="59"/>
      <c r="E39" s="59"/>
      <c r="F39" s="59"/>
      <c r="G39" s="59"/>
      <c r="H39" s="59"/>
      <c r="I39" s="8">
        <v>25</v>
      </c>
      <c r="J39" s="8">
        <v>100</v>
      </c>
    </row>
    <row r="40" spans="1:10" ht="15" customHeight="1" x14ac:dyDescent="0.2">
      <c r="A40" s="55" t="s">
        <v>250</v>
      </c>
      <c r="B40" s="55"/>
      <c r="C40" s="55"/>
      <c r="D40" s="55"/>
      <c r="E40" s="55"/>
      <c r="F40" s="55"/>
      <c r="G40" s="55"/>
      <c r="H40" s="55"/>
      <c r="I40" s="55"/>
      <c r="J40" s="55"/>
    </row>
    <row r="41" spans="1:10" ht="15" customHeight="1" x14ac:dyDescent="0.2">
      <c r="A41" s="120" t="s">
        <v>246</v>
      </c>
      <c r="B41" s="120"/>
      <c r="C41" s="120"/>
      <c r="D41" s="120"/>
      <c r="E41" s="120"/>
      <c r="F41" s="9">
        <v>200</v>
      </c>
      <c r="G41" s="9">
        <v>250</v>
      </c>
      <c r="H41" s="9">
        <v>300</v>
      </c>
      <c r="I41" s="9">
        <v>400</v>
      </c>
      <c r="J41" s="9">
        <v>500</v>
      </c>
    </row>
    <row r="42" spans="1:10" ht="15" customHeight="1" x14ac:dyDescent="0.2">
      <c r="A42" s="56" t="s">
        <v>247</v>
      </c>
      <c r="B42" s="56"/>
      <c r="C42" s="56"/>
      <c r="D42" s="56"/>
      <c r="E42" s="56"/>
      <c r="F42" s="10">
        <f>MROUND(580*$I$4*$J$4,5)</f>
        <v>815</v>
      </c>
      <c r="G42" s="10">
        <f>MROUND(600*$I$4*$J$4,5)</f>
        <v>845</v>
      </c>
      <c r="H42" s="10">
        <f>MROUND(620*$I$4*$J$4,5)</f>
        <v>870</v>
      </c>
      <c r="I42" s="10">
        <f>MROUND(660*$I$4*$J$4,5)</f>
        <v>930</v>
      </c>
      <c r="J42" s="10">
        <f>MROUND(700*$I$4*$J$4,5)</f>
        <v>985</v>
      </c>
    </row>
    <row r="43" spans="1:10" ht="15" customHeight="1" x14ac:dyDescent="0.2">
      <c r="A43" s="56" t="s">
        <v>248</v>
      </c>
      <c r="B43" s="56"/>
      <c r="C43" s="56"/>
      <c r="D43" s="56"/>
      <c r="E43" s="56"/>
      <c r="F43" s="10">
        <f>F42*2</f>
        <v>1630</v>
      </c>
      <c r="G43" s="10">
        <f t="shared" ref="G43:J43" si="2">G42*2</f>
        <v>1690</v>
      </c>
      <c r="H43" s="10">
        <f t="shared" si="2"/>
        <v>1740</v>
      </c>
      <c r="I43" s="10">
        <f t="shared" si="2"/>
        <v>1860</v>
      </c>
      <c r="J43" s="10">
        <f t="shared" si="2"/>
        <v>1970</v>
      </c>
    </row>
    <row r="44" spans="1:10" ht="15" customHeight="1" x14ac:dyDescent="0.2"/>
    <row r="45" spans="1:10" ht="1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ht="15" customHeight="1" x14ac:dyDescent="0.2">
      <c r="A46" s="3" t="s">
        <v>31</v>
      </c>
      <c r="B46" s="3"/>
      <c r="C46" s="3"/>
      <c r="D46" s="3"/>
      <c r="E46" s="3"/>
      <c r="F46" s="3"/>
      <c r="G46" s="3"/>
      <c r="H46" s="3"/>
      <c r="I46" s="3"/>
      <c r="J46" s="3"/>
    </row>
    <row r="47" spans="1:10" ht="15" customHeight="1" x14ac:dyDescent="0.2">
      <c r="A47" s="3" t="s">
        <v>32</v>
      </c>
      <c r="B47" s="3"/>
      <c r="C47" s="3"/>
      <c r="D47" s="3"/>
      <c r="E47" s="3"/>
      <c r="F47" s="3"/>
      <c r="G47" s="3"/>
      <c r="H47" s="3"/>
      <c r="I47" s="3"/>
      <c r="J47" s="3"/>
    </row>
    <row r="48" spans="1:10" ht="15" customHeight="1" x14ac:dyDescent="0.2">
      <c r="A48" s="3" t="s">
        <v>34</v>
      </c>
      <c r="B48" s="3"/>
      <c r="C48" s="3"/>
      <c r="D48" s="3"/>
      <c r="E48" s="3"/>
      <c r="F48" s="3"/>
      <c r="G48" s="3"/>
      <c r="H48" s="3"/>
      <c r="I48" s="3"/>
      <c r="J48" s="3"/>
    </row>
    <row r="49" spans="1:10" ht="15" customHeight="1" x14ac:dyDescent="0.2">
      <c r="A49" s="3" t="s">
        <v>35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ht="15" customHeight="1" x14ac:dyDescent="0.2">
      <c r="A50" s="4" t="s">
        <v>33</v>
      </c>
      <c r="B50" s="3"/>
      <c r="C50" s="3"/>
      <c r="D50" s="3"/>
      <c r="E50" s="3"/>
      <c r="F50" s="3"/>
      <c r="G50" s="3"/>
      <c r="H50" s="3"/>
      <c r="I50" s="3"/>
      <c r="J50" s="3"/>
    </row>
    <row r="51" spans="1:10" ht="15" customHeight="1" x14ac:dyDescent="0.2"/>
  </sheetData>
  <sheetProtection algorithmName="SHA-512" hashValue="dG3JUxbp+GcsJSF19CcR0IAyT0E/6p9WIIS97Un7fWKDZQhmtlLd4X5NSWcllT+yM+RegkKmDrMise4qKxNtlg==" saltValue="RZjze8O8HoWHf4aFcS49eQ==" spinCount="100000" sheet="1" objects="1" scenarios="1"/>
  <mergeCells count="79">
    <mergeCell ref="A43:E43"/>
    <mergeCell ref="A31:F31"/>
    <mergeCell ref="G31:H31"/>
    <mergeCell ref="I31:J31"/>
    <mergeCell ref="A33:H33"/>
    <mergeCell ref="A34:J34"/>
    <mergeCell ref="A35:E35"/>
    <mergeCell ref="A36:E36"/>
    <mergeCell ref="A41:E41"/>
    <mergeCell ref="A42:E42"/>
    <mergeCell ref="A39:H39"/>
    <mergeCell ref="A40:J40"/>
    <mergeCell ref="A37:E37"/>
    <mergeCell ref="A29:F29"/>
    <mergeCell ref="G29:H29"/>
    <mergeCell ref="I29:J29"/>
    <mergeCell ref="A30:F30"/>
    <mergeCell ref="G30:H30"/>
    <mergeCell ref="I30:J30"/>
    <mergeCell ref="I27:J27"/>
    <mergeCell ref="A28:F28"/>
    <mergeCell ref="G28:H28"/>
    <mergeCell ref="I28:J28"/>
    <mergeCell ref="A25:F25"/>
    <mergeCell ref="G25:H25"/>
    <mergeCell ref="I25:J25"/>
    <mergeCell ref="A26:F26"/>
    <mergeCell ref="G26:H26"/>
    <mergeCell ref="I26:J26"/>
    <mergeCell ref="A27:F27"/>
    <mergeCell ref="G27:H27"/>
    <mergeCell ref="A23:F23"/>
    <mergeCell ref="G23:H23"/>
    <mergeCell ref="I23:J23"/>
    <mergeCell ref="A24:F24"/>
    <mergeCell ref="G24:H24"/>
    <mergeCell ref="I24:J24"/>
    <mergeCell ref="A21:F21"/>
    <mergeCell ref="G21:H21"/>
    <mergeCell ref="I21:J21"/>
    <mergeCell ref="A22:F22"/>
    <mergeCell ref="G22:H22"/>
    <mergeCell ref="I22:J22"/>
    <mergeCell ref="A17:F17"/>
    <mergeCell ref="G17:H17"/>
    <mergeCell ref="I17:J17"/>
    <mergeCell ref="I19:J19"/>
    <mergeCell ref="I20:J20"/>
    <mergeCell ref="A20:F20"/>
    <mergeCell ref="G20:H20"/>
    <mergeCell ref="A18:F18"/>
    <mergeCell ref="G18:H18"/>
    <mergeCell ref="I18:J18"/>
    <mergeCell ref="A19:F19"/>
    <mergeCell ref="G19:H19"/>
    <mergeCell ref="A15:F15"/>
    <mergeCell ref="G15:H15"/>
    <mergeCell ref="I15:J15"/>
    <mergeCell ref="A16:F16"/>
    <mergeCell ref="G16:H16"/>
    <mergeCell ref="I16:J16"/>
    <mergeCell ref="A13:F13"/>
    <mergeCell ref="G13:H13"/>
    <mergeCell ref="I13:J13"/>
    <mergeCell ref="A14:F14"/>
    <mergeCell ref="G14:H14"/>
    <mergeCell ref="I14:J14"/>
    <mergeCell ref="A11:F11"/>
    <mergeCell ref="G11:H11"/>
    <mergeCell ref="I11:J11"/>
    <mergeCell ref="A12:F12"/>
    <mergeCell ref="G12:H12"/>
    <mergeCell ref="I12:J12"/>
    <mergeCell ref="A10:J10"/>
    <mergeCell ref="I1:J1"/>
    <mergeCell ref="A6:H7"/>
    <mergeCell ref="I2:J3"/>
    <mergeCell ref="A9:H9"/>
    <mergeCell ref="I9:J9"/>
  </mergeCells>
  <printOptions horizontalCentered="1"/>
  <pageMargins left="0.59055118110236227" right="0.59055118110236227" top="0.78740157480314965" bottom="0.78740157480314965" header="0.39370078740157483" footer="0.39370078740157483"/>
  <pageSetup paperSize="9" scale="93" orientation="portrait" r:id="rId1"/>
  <headerFooter>
    <oddFooter xml:space="preserve">&amp;L&amp;"Arial,Obyčejné"&amp;10   ITS097-01, © Greif-akustika, s.r.o.&amp;R&amp;"Arial,Obyčejné"&amp;10List &amp;P/&amp;N   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C85159AA6DB441941BCC60B1E40BD6" ma:contentTypeVersion="14" ma:contentTypeDescription="Vytvoří nový dokument" ma:contentTypeScope="" ma:versionID="98f96a1c2159b5bf0b524d0061d1147f">
  <xsd:schema xmlns:xsd="http://www.w3.org/2001/XMLSchema" xmlns:xs="http://www.w3.org/2001/XMLSchema" xmlns:p="http://schemas.microsoft.com/office/2006/metadata/properties" xmlns:ns2="cc4145c4-cd0f-45c4-9324-c2f79f3fc2ff" xmlns:ns3="370aa5f6-a997-44d9-b03c-5c36f0ce20f9" xmlns:ns4="http://schemas.microsoft.com/sharepoint/v3/fields" targetNamespace="http://schemas.microsoft.com/office/2006/metadata/properties" ma:root="true" ma:fieldsID="73dd87ef5f03fc42502ea36989a3c651" ns2:_="" ns3:_="" ns4:_="">
    <xsd:import namespace="cc4145c4-cd0f-45c4-9324-c2f79f3fc2ff"/>
    <xsd:import namespace="370aa5f6-a997-44d9-b03c-5c36f0ce20f9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4:_DCDateModifi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145c4-cd0f-45c4-9324-c2f79f3fc2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aa5f6-a997-44d9-b03c-5c36f0ce20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18" nillable="true" ma:displayName="Datum změny" ma:description="Datum, k němuž byl tento prostředek naposledy změněn" ma:format="DateTime" ma:internalName="_DCDateModifi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C7DC39B-35AE-4201-A2BB-E62B861C1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4145c4-cd0f-45c4-9324-c2f79f3fc2ff"/>
    <ds:schemaRef ds:uri="370aa5f6-a997-44d9-b03c-5c36f0ce20f9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D673E-0158-4375-B664-15039496F6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84AE8A-8518-4ACD-97BD-BCC1C23A92D0}">
  <ds:schemaRefs>
    <ds:schemaRef ds:uri="370aa5f6-a997-44d9-b03c-5c36f0ce20f9"/>
    <ds:schemaRef ds:uri="http://purl.org/dc/terms/"/>
    <ds:schemaRef ds:uri="http://schemas.microsoft.com/sharepoint/v3/field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cc4145c4-cd0f-45c4-9324-c2f79f3fc2ff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12</vt:i4>
      </vt:variant>
    </vt:vector>
  </HeadingPairs>
  <TitlesOfParts>
    <vt:vector size="24" baseType="lpstr">
      <vt:lpstr>Obsah</vt:lpstr>
      <vt:lpstr>Buňky G-GE-GH</vt:lpstr>
      <vt:lpstr>Kulisy GKK</vt:lpstr>
      <vt:lpstr>Kulisy GKD</vt:lpstr>
      <vt:lpstr>Kulisy GKDH</vt:lpstr>
      <vt:lpstr>Kruhové tlumiče GD</vt:lpstr>
      <vt:lpstr>Kruhové tlumiče GDE</vt:lpstr>
      <vt:lpstr>Tlumiče výfuku GV</vt:lpstr>
      <vt:lpstr>Akustické materiály</vt:lpstr>
      <vt:lpstr>Akustické kryty GAK</vt:lpstr>
      <vt:lpstr>Protihlukové digestoře GPHD</vt:lpstr>
      <vt:lpstr>Přeslechové tlumiče GKP</vt:lpstr>
      <vt:lpstr>'Akustické kryty GAK'!Oblast_tisku</vt:lpstr>
      <vt:lpstr>'Akustické materiály'!Oblast_tisku</vt:lpstr>
      <vt:lpstr>'Buňky G-GE-GH'!Oblast_tisku</vt:lpstr>
      <vt:lpstr>'Kruhové tlumiče GD'!Oblast_tisku</vt:lpstr>
      <vt:lpstr>'Kruhové tlumiče GDE'!Oblast_tisku</vt:lpstr>
      <vt:lpstr>'Kulisy GKD'!Oblast_tisku</vt:lpstr>
      <vt:lpstr>'Kulisy GKDH'!Oblast_tisku</vt:lpstr>
      <vt:lpstr>'Kulisy GKK'!Oblast_tisku</vt:lpstr>
      <vt:lpstr>Obsah!Oblast_tisku</vt:lpstr>
      <vt:lpstr>'Protihlukové digestoře GPHD'!Oblast_tisku</vt:lpstr>
      <vt:lpstr>'Přeslechové tlumiče GKP'!Oblast_tisku</vt:lpstr>
      <vt:lpstr>'Tlumiče výfuku GV'!Oblast_tisku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ITS097-01</dc:title>
  <dc:subject>Ceník společnosti Greif-akustika</dc:subject>
  <dc:creator/>
  <cp:keywords>Výrobky</cp:keywords>
  <dc:description/>
  <cp:lastModifiedBy/>
  <cp:lastPrinted>2021-05-28T08:24:58Z</cp:lastPrinted>
  <dcterms:created xsi:type="dcterms:W3CDTF">2006-09-16T00:00:00Z</dcterms:created>
  <dcterms:modified xsi:type="dcterms:W3CDTF">2024-11-27T06:33:50Z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0x010100EDC85159AA6DB441941BCC60B1E40BD6</vt:lpwstr>
  </property>
</Properties>
</file>